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adunund Vijay\Dropbox (Personal)\MIT Course Work\Spring\2.77\My Spreadsheets\"/>
    </mc:Choice>
  </mc:AlternateContent>
  <bookViews>
    <workbookView xWindow="0" yWindow="0" windowWidth="20490" windowHeight="7530" tabRatio="838" firstSheet="1" activeTab="4"/>
  </bookViews>
  <sheets>
    <sheet name="Keeper Rail Pry" sheetId="1" r:id="rId1"/>
    <sheet name="Cantilever Attachment" sheetId="2" r:id="rId2"/>
    <sheet name="Box Rail Attachment" sheetId="3" r:id="rId3"/>
    <sheet name="Table Top Attachment" sheetId="4" r:id="rId4"/>
    <sheet name="Lower Bearing Block" sheetId="5" r:id="rId5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0" i="5" l="1"/>
  <c r="B64" i="5" l="1"/>
  <c r="B66" i="5" s="1"/>
  <c r="B33" i="5"/>
  <c r="B58" i="5"/>
  <c r="B57" i="5"/>
  <c r="B56" i="5"/>
  <c r="B68" i="5" l="1"/>
  <c r="B37" i="5"/>
  <c r="B38" i="5" s="1"/>
  <c r="B14" i="5"/>
  <c r="B24" i="5"/>
  <c r="B25" i="5"/>
  <c r="B26" i="5"/>
  <c r="B28" i="5"/>
  <c r="B27" i="3"/>
  <c r="B25" i="2"/>
  <c r="B23" i="2"/>
  <c r="B14" i="2"/>
  <c r="B9" i="4"/>
  <c r="E29" i="4"/>
  <c r="E30" i="4"/>
  <c r="B29" i="4"/>
  <c r="B11" i="4"/>
  <c r="B31" i="4"/>
  <c r="B23" i="4"/>
  <c r="B21" i="4"/>
  <c r="B5" i="4"/>
  <c r="B22" i="4"/>
  <c r="B24" i="1"/>
  <c r="B25" i="4"/>
  <c r="B33" i="4"/>
  <c r="B29" i="3"/>
  <c r="B41" i="3"/>
  <c r="B37" i="3"/>
  <c r="B35" i="3"/>
  <c r="B33" i="3"/>
  <c r="B19" i="3"/>
  <c r="B25" i="3"/>
  <c r="B21" i="3"/>
  <c r="B15" i="3"/>
  <c r="B17" i="2"/>
  <c r="B13" i="3"/>
  <c r="B11" i="3"/>
  <c r="B12" i="3"/>
  <c r="B10" i="3"/>
  <c r="B9" i="3"/>
  <c r="B8" i="3"/>
  <c r="B7" i="3"/>
  <c r="B6" i="3"/>
  <c r="B34" i="3"/>
  <c r="B38" i="3"/>
  <c r="B26" i="3"/>
  <c r="B40" i="3"/>
  <c r="B5" i="2"/>
  <c r="B3" i="2"/>
  <c r="B4" i="2"/>
  <c r="B6" i="2"/>
  <c r="B19" i="2"/>
  <c r="B24" i="2"/>
  <c r="B27" i="2"/>
  <c r="B31" i="2"/>
  <c r="B33" i="2"/>
  <c r="B35" i="2"/>
  <c r="B16" i="1"/>
  <c r="B17" i="1"/>
  <c r="B30" i="1"/>
  <c r="C30" i="1"/>
  <c r="B5" i="1"/>
  <c r="B29" i="1"/>
  <c r="C29" i="1"/>
  <c r="B28" i="1"/>
  <c r="C28" i="1"/>
  <c r="B27" i="1"/>
  <c r="B22" i="1"/>
  <c r="B18" i="1"/>
  <c r="B19" i="1"/>
  <c r="B34" i="5" l="1"/>
  <c r="B36" i="5" s="1"/>
</calcChain>
</file>

<file path=xl/sharedStrings.xml><?xml version="1.0" encoding="utf-8"?>
<sst xmlns="http://schemas.openxmlformats.org/spreadsheetml/2006/main" count="185" uniqueCount="135">
  <si>
    <t>Force</t>
  </si>
  <si>
    <t>N &amp; mm</t>
  </si>
  <si>
    <t>L</t>
  </si>
  <si>
    <t>M</t>
  </si>
  <si>
    <t>Force on slider</t>
  </si>
  <si>
    <t>Length of slider</t>
  </si>
  <si>
    <t>N</t>
  </si>
  <si>
    <t>Keeper Rail</t>
  </si>
  <si>
    <t>Overhang length</t>
  </si>
  <si>
    <t>Thickness</t>
  </si>
  <si>
    <t>Force per rail</t>
  </si>
  <si>
    <t>Slider</t>
  </si>
  <si>
    <t>Length of contact patch</t>
  </si>
  <si>
    <t xml:space="preserve">Width of contact patch </t>
  </si>
  <si>
    <t>Contact Patch Area</t>
  </si>
  <si>
    <t>http://workshopcompanion.com/KnowHow/Design/Nature_of_Wood/3_Wood_Strength/3_Wood_Strength.htm</t>
  </si>
  <si>
    <t>Beech Wood</t>
  </si>
  <si>
    <t>Bending Strength</t>
  </si>
  <si>
    <t>http://www.woodworkweb.com/woodwork-topics/wood/146-wood-strengths.html</t>
  </si>
  <si>
    <t>Compressive Strenght (parallel)</t>
  </si>
  <si>
    <t>Compression Strength (Perp)</t>
  </si>
  <si>
    <t>Shear strength ( Parallel)</t>
  </si>
  <si>
    <t>Compressive Stress</t>
  </si>
  <si>
    <t>Stresses (per rail)</t>
  </si>
  <si>
    <t>Bending Stress</t>
  </si>
  <si>
    <t xml:space="preserve">Width of cantilever that experiences bending </t>
  </si>
  <si>
    <t>Shear Perpendicular to grain</t>
  </si>
  <si>
    <t>FOS</t>
  </si>
  <si>
    <t>Table</t>
  </si>
  <si>
    <t>Width</t>
  </si>
  <si>
    <t>Length</t>
  </si>
  <si>
    <t>Mounting Steel Plate</t>
  </si>
  <si>
    <t>Screw</t>
  </si>
  <si>
    <t>Thread Diameter</t>
  </si>
  <si>
    <t>Root Diameter</t>
  </si>
  <si>
    <t>https://www.fpl.fs.fed.us/documnts/fplgtr/fplgtr190/chapter_08.pdf</t>
  </si>
  <si>
    <t>Screw Strength (steel)</t>
  </si>
  <si>
    <t>N &amp; mm data</t>
  </si>
  <si>
    <t>Engagement Length</t>
  </si>
  <si>
    <t>Shear Strength</t>
  </si>
  <si>
    <t>Max shear force on wood from threads</t>
  </si>
  <si>
    <t>Head Diameter</t>
  </si>
  <si>
    <t>Max tensile load on screw shaft</t>
  </si>
  <si>
    <t>Safety Factor</t>
  </si>
  <si>
    <t>Allowable load on screw</t>
  </si>
  <si>
    <t>Shear Strength (low carbon steel)</t>
  </si>
  <si>
    <t>Max Pull through Force</t>
  </si>
  <si>
    <t>Foce On Desk</t>
  </si>
  <si>
    <t>Length of Cantilever</t>
  </si>
  <si>
    <t xml:space="preserve">Moment </t>
  </si>
  <si>
    <t>Fulcrum length</t>
  </si>
  <si>
    <t>Force To withstand</t>
  </si>
  <si>
    <t>Number of Screws required</t>
  </si>
  <si>
    <t>Max Loading</t>
  </si>
  <si>
    <t>Lead Screw Hole Diameter</t>
  </si>
  <si>
    <t>Box Rail Dimensions</t>
  </si>
  <si>
    <t>Front to back distance</t>
  </si>
  <si>
    <t>Side to side width</t>
  </si>
  <si>
    <t>All dimensions in N &amp;mm</t>
  </si>
  <si>
    <t>Thickness of Back plate</t>
  </si>
  <si>
    <t>Width of Spacer plate</t>
  </si>
  <si>
    <t>Mounting hole offset from back edge</t>
  </si>
  <si>
    <t>Forward Tipping Fulcrum length</t>
  </si>
  <si>
    <t>Sideways Tipping Fulcrum Length</t>
  </si>
  <si>
    <t>Mouting hole offset from side edge</t>
  </si>
  <si>
    <t>Shear Strength of wood</t>
  </si>
  <si>
    <t>Thickness of base for pull through</t>
  </si>
  <si>
    <t>http://www.wlfuller.com/html/wood_screw_chart.html</t>
  </si>
  <si>
    <t>Number of Screws through backplate</t>
  </si>
  <si>
    <t>Number of Screws through sideplate</t>
  </si>
  <si>
    <t>Length of Cantilever for forward tipping</t>
  </si>
  <si>
    <t>Length of Cantilever for sideways tipping</t>
  </si>
  <si>
    <t xml:space="preserve"> Forward tipping Moment </t>
  </si>
  <si>
    <t>Sideways tipping Moment</t>
  </si>
  <si>
    <t>Forward tipping Force To withstand</t>
  </si>
  <si>
    <t>Sideways tipping Force to withstand</t>
  </si>
  <si>
    <t>All dimensions in N &amp; mm</t>
  </si>
  <si>
    <t>Shear Strength of Wood</t>
  </si>
  <si>
    <t>Bolt</t>
  </si>
  <si>
    <t>Steel Tube</t>
  </si>
  <si>
    <t>Width &amp; Thickness</t>
  </si>
  <si>
    <t>https://www.newmantools.com/tech/threadm.htm</t>
  </si>
  <si>
    <t>Screw Shear Strength (steel)</t>
  </si>
  <si>
    <t>Screw UTS</t>
  </si>
  <si>
    <t>Nut Engagement Length</t>
  </si>
  <si>
    <t>Max shear force on wood from bolt</t>
  </si>
  <si>
    <t>Table Top</t>
  </si>
  <si>
    <t>Max Pull Through Force</t>
  </si>
  <si>
    <t>Fulcrum Length</t>
  </si>
  <si>
    <t>Table Top Shear Analysis</t>
  </si>
  <si>
    <t>https://www.forestindustries.fi/mediabank/887.pdf</t>
  </si>
  <si>
    <t>Does the Table Top Break first?</t>
  </si>
  <si>
    <t>Mounting hole offset from edge</t>
  </si>
  <si>
    <t>Backplate</t>
  </si>
  <si>
    <t>N&amp; mm</t>
  </si>
  <si>
    <t>Nut &amp; Bolt</t>
  </si>
  <si>
    <t>Bolt Dia</t>
  </si>
  <si>
    <t>Bolt Shear Strength (steel)</t>
  </si>
  <si>
    <t>Bolt UTS</t>
  </si>
  <si>
    <t>Aluminum Cantilever</t>
  </si>
  <si>
    <t>w</t>
  </si>
  <si>
    <t>h</t>
  </si>
  <si>
    <t>l</t>
  </si>
  <si>
    <t>Forces</t>
  </si>
  <si>
    <t>Axial load on lead screw</t>
  </si>
  <si>
    <t>Moment at fulcrum</t>
  </si>
  <si>
    <t>Force to withstand</t>
  </si>
  <si>
    <t xml:space="preserve">Max loading </t>
  </si>
  <si>
    <t>Nut Dia</t>
  </si>
  <si>
    <t>Max pull out force</t>
  </si>
  <si>
    <t>Max shear force on wood</t>
  </si>
  <si>
    <t>Max Allowable force</t>
  </si>
  <si>
    <t>Max tensile force on bolt</t>
  </si>
  <si>
    <t>Number of bolts</t>
  </si>
  <si>
    <t>Deflection of cantilever</t>
  </si>
  <si>
    <t>Elastic modulus</t>
  </si>
  <si>
    <t>mm</t>
  </si>
  <si>
    <t>Stiffness</t>
  </si>
  <si>
    <t>Backplate Design</t>
  </si>
  <si>
    <t>Bearing Plate Design</t>
  </si>
  <si>
    <t>Screw 4-40</t>
  </si>
  <si>
    <t>Screw  Shear Strength (steel)</t>
  </si>
  <si>
    <t>When greater than 2 Root Diameter, failure through tensile loading first before threads shear</t>
  </si>
  <si>
    <t xml:space="preserve">Max Loading </t>
  </si>
  <si>
    <t>Max shear force on Aluminum</t>
  </si>
  <si>
    <t>Max tensile force on screw</t>
  </si>
  <si>
    <t>Backplate Thickness</t>
  </si>
  <si>
    <t>Aluminum Backplate</t>
  </si>
  <si>
    <t>Shear Strength Alumium</t>
  </si>
  <si>
    <t>UTS</t>
  </si>
  <si>
    <t>http://asm.matweb.com/search/SpecificMaterial.asp?bassnum=ma6061t6</t>
  </si>
  <si>
    <t>Loading</t>
  </si>
  <si>
    <t>Number of Screws Required</t>
  </si>
  <si>
    <t>Axial Force</t>
  </si>
  <si>
    <t>Edge to Screw Fulcrum 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</si>
</sst>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1" fontId="2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/>
    </xf>
    <xf numFmtId="0" fontId="5" fillId="2" borderId="1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0" fontId="5" fillId="2" borderId="3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64" fontId="6" fillId="0" borderId="0" xfId="0" applyNumberFormat="1" applyFont="1"/>
    <xf numFmtId="0" fontId="0" fillId="0" borderId="0" xfId="0" applyNumberForma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4" fillId="2" borderId="0" xfId="0" applyFont="1" applyFill="1"/>
    <xf numFmtId="0" fontId="3" fillId="2" borderId="0" xfId="0" applyFont="1" applyFill="1"/>
    <xf numFmtId="1" fontId="3" fillId="2" borderId="0" xfId="0" applyNumberFormat="1" applyFont="1" applyFill="1"/>
    <xf numFmtId="1" fontId="3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165" fontId="3" fillId="2" borderId="0" xfId="0" applyNumberFormat="1" applyFont="1" applyFill="1"/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210432</xdr:colOff>
      <xdr:row>1</xdr:row>
      <xdr:rowOff>108855</xdr:rowOff>
    </xdr:from>
    <xdr:to>
      <xdr:col>11</xdr:col>
      <xdr:colOff>424624</xdr:colOff>
      <xdr:row>24</xdr:row>
      <xdr:rowOff>122463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0D65A5-C738-4255-AF7E-6E2AB302E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09" r="10012"/>
        <a:stretch/>
      </xdr:blipFill>
      <xdr:spPr>
        <a:xfrm rot="16200000">
          <a:off x="4311225" y="-195545"/>
          <a:ext cx="4708072" cy="5725085"/>
        </a:xfrm>
        <a:prstGeom prst="rect">
          <a:avLst/>
        </a:prstGeom>
      </xdr:spPr>
    </xdr:pic>
    <xdr:clientData/>
  </xdr:twoCellAnchor>
  <xdr:twoCellAnchor>
    <xdr:from>
      <xdr:col>5</xdr:col>
      <xdr:colOff>174625</xdr:colOff>
      <xdr:row>8</xdr:row>
      <xdr:rowOff>47625</xdr:rowOff>
    </xdr:from>
    <xdr:to>
      <xdr:col>5</xdr:col>
      <xdr:colOff>222250</xdr:colOff>
      <xdr:row>15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52CA2C3-543F-4CE0-A1F3-C044F26C33BB}"/>
            </a:ext>
          </a:extLst>
        </xdr:cNvPr>
        <xdr:cNvCxnSpPr/>
      </xdr:nvCxnSpPr>
      <xdr:spPr>
        <a:xfrm>
          <a:off x="5730875" y="1698625"/>
          <a:ext cx="47625" cy="1492250"/>
        </a:xfrm>
        <a:prstGeom prst="straightConnector1">
          <a:avLst/>
        </a:prstGeom>
        <a:ln w="28575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444500</xdr:colOff>
      <xdr:row>9</xdr:row>
      <xdr:rowOff>127000</xdr:rowOff>
    </xdr:from>
    <xdr:ext cx="822213" cy="28020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AA32F6C-8556-4E65-BFCF-3AA27EF383CD}"/>
            </a:ext>
          </a:extLst>
        </xdr:cNvPr>
        <xdr:cNvSpPr txBox="1"/>
      </xdr:nvSpPr>
      <xdr:spPr>
        <a:xfrm>
          <a:off x="4794250" y="1984375"/>
          <a:ext cx="8222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/>
            <a:t>L_fulcrum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601754</xdr:colOff>
      <xdr:row>0</xdr:row>
      <xdr:rowOff>54348</xdr:rowOff>
    </xdr:from>
    <xdr:to>
      <xdr:col>9</xdr:col>
      <xdr:colOff>404483</xdr:colOff>
      <xdr:row>25</xdr:row>
      <xdr:rowOff>140074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80287A-EB75-4387-A214-296E11CFE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914" b="10683"/>
        <a:stretch/>
      </xdr:blipFill>
      <xdr:spPr>
        <a:xfrm rot="10800000">
          <a:off x="3784225" y="54348"/>
          <a:ext cx="4038552" cy="51283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590551</xdr:colOff>
      <xdr:row>0</xdr:row>
      <xdr:rowOff>2</xdr:rowOff>
    </xdr:from>
    <xdr:to>
      <xdr:col>6</xdr:col>
      <xdr:colOff>391085</xdr:colOff>
      <xdr:row>22</xdr:row>
      <xdr:rowOff>130535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5B70EF-1D40-4FF1-AF41-6C8FD2898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6" r="24035"/>
        <a:stretch/>
      </xdr:blipFill>
      <xdr:spPr>
        <a:xfrm rot="5400000">
          <a:off x="3339922" y="374831"/>
          <a:ext cx="4426308" cy="3676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154082</xdr:colOff>
      <xdr:row>2</xdr:row>
      <xdr:rowOff>20170</xdr:rowOff>
    </xdr:from>
    <xdr:to>
      <xdr:col>8</xdr:col>
      <xdr:colOff>511550</xdr:colOff>
      <xdr:row>21</xdr:row>
      <xdr:rowOff>135648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C8770-6D63-4FA6-881E-43C4E2F3D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79" b="33712"/>
        <a:stretch/>
      </xdr:blipFill>
      <xdr:spPr>
        <a:xfrm>
          <a:off x="2596964" y="401170"/>
          <a:ext cx="3988174" cy="3947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zoomScale="70" zoomScaleNormal="70" workbookViewId="0">
      <selection activeCell="B11" sqref="B11"/>
    </sheetView>
  </sheetViews>
  <sheetFormatPr defaultRowHeight="15.75" x14ac:dyDescent="0.25"/>
  <cols>
    <col min="1" max="1" width="46.28515625" style="2" bestFit="1" customWidth="1"/>
    <col min="2" max="2" width="9.140625" style="2"/>
    <col min="3" max="3" width="13.7109375" style="2" bestFit="1" customWidth="1"/>
    <col min="4" max="16384" width="9.140625" style="2"/>
  </cols>
  <sheetData>
    <row r="1" spans="1:3" x14ac:dyDescent="0.25">
      <c r="A1" s="2" t="s">
        <v>1</v>
      </c>
    </row>
    <row r="2" spans="1:3" x14ac:dyDescent="0.25">
      <c r="A2" s="8" t="s">
        <v>28</v>
      </c>
    </row>
    <row r="3" spans="1:3" x14ac:dyDescent="0.25">
      <c r="A3" s="5" t="s">
        <v>0</v>
      </c>
      <c r="B3" s="2">
        <v>1000</v>
      </c>
    </row>
    <row r="4" spans="1:3" x14ac:dyDescent="0.25">
      <c r="A4" s="5" t="s">
        <v>2</v>
      </c>
      <c r="B4" s="2">
        <v>500</v>
      </c>
    </row>
    <row r="5" spans="1:3" x14ac:dyDescent="0.25">
      <c r="A5" s="4" t="s">
        <v>3</v>
      </c>
      <c r="B5" s="3">
        <f>B3*B4</f>
        <v>500000</v>
      </c>
    </row>
    <row r="7" spans="1:3" x14ac:dyDescent="0.25">
      <c r="A7" s="8" t="s">
        <v>16</v>
      </c>
    </row>
    <row r="8" spans="1:3" x14ac:dyDescent="0.25">
      <c r="A8" s="4" t="s">
        <v>21</v>
      </c>
      <c r="B8" s="3">
        <v>15</v>
      </c>
      <c r="C8" s="2" t="s">
        <v>15</v>
      </c>
    </row>
    <row r="9" spans="1:3" x14ac:dyDescent="0.25">
      <c r="A9" s="4" t="s">
        <v>19</v>
      </c>
      <c r="B9" s="3">
        <v>50</v>
      </c>
      <c r="C9" s="2" t="s">
        <v>18</v>
      </c>
    </row>
    <row r="10" spans="1:3" x14ac:dyDescent="0.25">
      <c r="A10" s="4" t="s">
        <v>20</v>
      </c>
      <c r="B10" s="3">
        <v>7</v>
      </c>
    </row>
    <row r="11" spans="1:3" x14ac:dyDescent="0.25">
      <c r="A11" s="4" t="s">
        <v>17</v>
      </c>
      <c r="B11" s="3">
        <v>102</v>
      </c>
    </row>
    <row r="12" spans="1:3" x14ac:dyDescent="0.25">
      <c r="A12" s="5"/>
    </row>
    <row r="13" spans="1:3" x14ac:dyDescent="0.25">
      <c r="A13" s="5"/>
    </row>
    <row r="14" spans="1:3" x14ac:dyDescent="0.25">
      <c r="A14" s="8" t="s">
        <v>11</v>
      </c>
    </row>
    <row r="15" spans="1:3" x14ac:dyDescent="0.25">
      <c r="A15" s="5" t="s">
        <v>5</v>
      </c>
      <c r="B15" s="2">
        <v>200</v>
      </c>
    </row>
    <row r="16" spans="1:3" x14ac:dyDescent="0.25">
      <c r="A16" s="4" t="s">
        <v>4</v>
      </c>
      <c r="B16" s="3">
        <f>(B4/B15)*B3</f>
        <v>2500</v>
      </c>
      <c r="C16" s="2" t="s">
        <v>6</v>
      </c>
    </row>
    <row r="17" spans="1:3" x14ac:dyDescent="0.25">
      <c r="A17" s="4" t="s">
        <v>10</v>
      </c>
      <c r="B17" s="3">
        <f>B16/2</f>
        <v>1250</v>
      </c>
    </row>
    <row r="18" spans="1:3" x14ac:dyDescent="0.25">
      <c r="A18" s="4" t="s">
        <v>12</v>
      </c>
      <c r="B18" s="3">
        <f>0.25*B15</f>
        <v>50</v>
      </c>
    </row>
    <row r="19" spans="1:3" x14ac:dyDescent="0.25">
      <c r="A19" s="4" t="s">
        <v>13</v>
      </c>
      <c r="B19" s="3">
        <f>MIN(B18/3,B22)</f>
        <v>12.7</v>
      </c>
    </row>
    <row r="20" spans="1:3" x14ac:dyDescent="0.25">
      <c r="A20" s="5"/>
    </row>
    <row r="21" spans="1:3" x14ac:dyDescent="0.25">
      <c r="A21" s="8" t="s">
        <v>7</v>
      </c>
    </row>
    <row r="22" spans="1:3" x14ac:dyDescent="0.25">
      <c r="A22" s="5" t="s">
        <v>8</v>
      </c>
      <c r="B22" s="2">
        <f>0.5*25.4</f>
        <v>12.7</v>
      </c>
    </row>
    <row r="23" spans="1:3" x14ac:dyDescent="0.25">
      <c r="A23" s="5" t="s">
        <v>9</v>
      </c>
      <c r="B23" s="2">
        <v>25.4</v>
      </c>
    </row>
    <row r="24" spans="1:3" x14ac:dyDescent="0.25">
      <c r="A24" s="4" t="s">
        <v>25</v>
      </c>
      <c r="B24" s="3">
        <f>2*B18</f>
        <v>100</v>
      </c>
    </row>
    <row r="25" spans="1:3" x14ac:dyDescent="0.25">
      <c r="A25" s="5"/>
    </row>
    <row r="26" spans="1:3" x14ac:dyDescent="0.25">
      <c r="A26" s="9" t="s">
        <v>23</v>
      </c>
    </row>
    <row r="27" spans="1:3" x14ac:dyDescent="0.25">
      <c r="A27" s="4" t="s">
        <v>14</v>
      </c>
      <c r="B27" s="3">
        <f>B18*B19</f>
        <v>635</v>
      </c>
      <c r="C27" s="6" t="s">
        <v>27</v>
      </c>
    </row>
    <row r="28" spans="1:3" x14ac:dyDescent="0.25">
      <c r="A28" s="4" t="s">
        <v>22</v>
      </c>
      <c r="B28" s="3">
        <f>B17/B27</f>
        <v>1.9685039370078741</v>
      </c>
      <c r="C28" s="7">
        <f>B9/B28</f>
        <v>25.4</v>
      </c>
    </row>
    <row r="29" spans="1:3" x14ac:dyDescent="0.25">
      <c r="A29" s="4" t="s">
        <v>24</v>
      </c>
      <c r="B29" s="3">
        <f>B5*B22/(B24*B23^3/12)</f>
        <v>46.500093000185998</v>
      </c>
      <c r="C29" s="7">
        <f>B11/B29</f>
        <v>2.1935440000000002</v>
      </c>
    </row>
    <row r="30" spans="1:3" x14ac:dyDescent="0.25">
      <c r="A30" s="4" t="s">
        <v>26</v>
      </c>
      <c r="B30" s="3">
        <f>B17/(B23*B24)</f>
        <v>0.49212598425196852</v>
      </c>
      <c r="C30" s="7">
        <f>B8/B30</f>
        <v>30.48</v>
      </c>
    </row>
  </sheetData>
  <conditionalFormatting sqref="C28:C30">
    <cfRule type="cellIs" dxfId="2" priority="1" operator="greaterThan">
      <formula>1.4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zoomScale="60" zoomScaleNormal="60" workbookViewId="0">
      <selection activeCell="B24" sqref="B24"/>
    </sheetView>
  </sheetViews>
  <sheetFormatPr defaultRowHeight="15.75" x14ac:dyDescent="0.25"/>
  <cols>
    <col min="1" max="1" width="47.140625" style="2" customWidth="1"/>
    <col min="2" max="16384" width="9.140625" style="2"/>
  </cols>
  <sheetData>
    <row r="1" spans="1:3" x14ac:dyDescent="0.25">
      <c r="A1" s="8" t="s">
        <v>37</v>
      </c>
    </row>
    <row r="2" spans="1:3" x14ac:dyDescent="0.25">
      <c r="A2" s="8" t="s">
        <v>11</v>
      </c>
    </row>
    <row r="3" spans="1:3" x14ac:dyDescent="0.25">
      <c r="A3" s="5" t="s">
        <v>30</v>
      </c>
      <c r="B3" s="2">
        <f>8*25.4</f>
        <v>203.2</v>
      </c>
    </row>
    <row r="4" spans="1:3" x14ac:dyDescent="0.25">
      <c r="A4" s="5" t="s">
        <v>29</v>
      </c>
      <c r="B4" s="2">
        <f>4*25.4</f>
        <v>101.6</v>
      </c>
    </row>
    <row r="5" spans="1:3" x14ac:dyDescent="0.25">
      <c r="A5" s="5" t="s">
        <v>9</v>
      </c>
      <c r="B5" s="2">
        <f>2*25.4</f>
        <v>50.8</v>
      </c>
    </row>
    <row r="6" spans="1:3" x14ac:dyDescent="0.25">
      <c r="A6" s="5" t="s">
        <v>39</v>
      </c>
      <c r="B6" s="2">
        <f>'Keeper Rail Pry'!B8</f>
        <v>15</v>
      </c>
    </row>
    <row r="7" spans="1:3" x14ac:dyDescent="0.25">
      <c r="A7" s="5" t="s">
        <v>54</v>
      </c>
      <c r="B7" s="2">
        <v>12.7</v>
      </c>
    </row>
    <row r="8" spans="1:3" x14ac:dyDescent="0.25">
      <c r="A8" s="9" t="s">
        <v>31</v>
      </c>
    </row>
    <row r="9" spans="1:3" x14ac:dyDescent="0.25">
      <c r="A9" s="5" t="s">
        <v>30</v>
      </c>
      <c r="B9" s="2">
        <v>150</v>
      </c>
    </row>
    <row r="10" spans="1:3" x14ac:dyDescent="0.25">
      <c r="A10" s="5" t="s">
        <v>29</v>
      </c>
      <c r="B10" s="2">
        <v>75</v>
      </c>
    </row>
    <row r="11" spans="1:3" x14ac:dyDescent="0.25">
      <c r="A11" s="5" t="s">
        <v>9</v>
      </c>
      <c r="B11" s="2">
        <v>3</v>
      </c>
    </row>
    <row r="12" spans="1:3" x14ac:dyDescent="0.25">
      <c r="A12" s="5" t="s">
        <v>45</v>
      </c>
      <c r="B12" s="2">
        <v>400</v>
      </c>
    </row>
    <row r="13" spans="1:3" x14ac:dyDescent="0.25">
      <c r="A13" s="5" t="s">
        <v>92</v>
      </c>
      <c r="B13" s="2">
        <v>5</v>
      </c>
    </row>
    <row r="14" spans="1:3" x14ac:dyDescent="0.25">
      <c r="A14" s="4" t="s">
        <v>50</v>
      </c>
      <c r="B14" s="3">
        <f>B9-B13</f>
        <v>145</v>
      </c>
    </row>
    <row r="15" spans="1:3" x14ac:dyDescent="0.25">
      <c r="A15" s="9" t="s">
        <v>32</v>
      </c>
    </row>
    <row r="16" spans="1:3" x14ac:dyDescent="0.25">
      <c r="A16" s="5" t="s">
        <v>33</v>
      </c>
      <c r="B16" s="2">
        <v>6</v>
      </c>
      <c r="C16" s="2" t="s">
        <v>35</v>
      </c>
    </row>
    <row r="17" spans="1:2" x14ac:dyDescent="0.25">
      <c r="A17" s="4" t="s">
        <v>34</v>
      </c>
      <c r="B17" s="14">
        <f>(2/3)*B16</f>
        <v>4</v>
      </c>
    </row>
    <row r="18" spans="1:2" x14ac:dyDescent="0.25">
      <c r="A18" s="5" t="s">
        <v>36</v>
      </c>
      <c r="B18" s="2">
        <v>400</v>
      </c>
    </row>
    <row r="19" spans="1:2" x14ac:dyDescent="0.25">
      <c r="A19" s="5" t="s">
        <v>38</v>
      </c>
      <c r="B19" s="2">
        <f>1.5*25.4</f>
        <v>38.099999999999994</v>
      </c>
    </row>
    <row r="20" spans="1:2" x14ac:dyDescent="0.25">
      <c r="A20" s="5" t="s">
        <v>41</v>
      </c>
      <c r="B20" s="2">
        <v>10</v>
      </c>
    </row>
    <row r="21" spans="1:2" x14ac:dyDescent="0.25">
      <c r="A21" s="5"/>
    </row>
    <row r="22" spans="1:2" x14ac:dyDescent="0.25">
      <c r="A22" s="9" t="s">
        <v>53</v>
      </c>
    </row>
    <row r="23" spans="1:2" x14ac:dyDescent="0.25">
      <c r="A23" s="4" t="s">
        <v>40</v>
      </c>
      <c r="B23" s="3">
        <f>B6*PI()*B16*B19</f>
        <v>10772.521209159397</v>
      </c>
    </row>
    <row r="24" spans="1:2" x14ac:dyDescent="0.25">
      <c r="A24" s="4" t="s">
        <v>42</v>
      </c>
      <c r="B24" s="3">
        <f>B18*PI()*B17^2/4</f>
        <v>5026.5482457436692</v>
      </c>
    </row>
    <row r="25" spans="1:2" x14ac:dyDescent="0.25">
      <c r="A25" s="4" t="s">
        <v>46</v>
      </c>
      <c r="B25" s="3">
        <f>B12*PI()*B20*B11</f>
        <v>37699.111843077524</v>
      </c>
    </row>
    <row r="26" spans="1:2" x14ac:dyDescent="0.25">
      <c r="A26" s="9" t="s">
        <v>43</v>
      </c>
      <c r="B26" s="2">
        <v>3</v>
      </c>
    </row>
    <row r="27" spans="1:2" x14ac:dyDescent="0.25">
      <c r="A27" s="5" t="s">
        <v>44</v>
      </c>
      <c r="B27" s="2">
        <f>MIN(B23:B25)/B26</f>
        <v>1675.5160819145565</v>
      </c>
    </row>
    <row r="29" spans="1:2" x14ac:dyDescent="0.25">
      <c r="A29" s="5" t="s">
        <v>47</v>
      </c>
      <c r="B29" s="2">
        <v>1000</v>
      </c>
    </row>
    <row r="30" spans="1:2" x14ac:dyDescent="0.25">
      <c r="A30" s="5" t="s">
        <v>48</v>
      </c>
      <c r="B30" s="2">
        <v>500</v>
      </c>
    </row>
    <row r="31" spans="1:2" x14ac:dyDescent="0.25">
      <c r="A31" s="4" t="s">
        <v>49</v>
      </c>
      <c r="B31" s="3">
        <f>B29*B30</f>
        <v>500000</v>
      </c>
    </row>
    <row r="32" spans="1:2" x14ac:dyDescent="0.25">
      <c r="A32" s="5"/>
    </row>
    <row r="33" spans="1:2" x14ac:dyDescent="0.25">
      <c r="A33" s="15" t="s">
        <v>51</v>
      </c>
      <c r="B33" s="3">
        <f>B31/B14</f>
        <v>3448.2758620689656</v>
      </c>
    </row>
    <row r="34" spans="1:2" ht="16.5" thickBot="1" x14ac:dyDescent="0.3"/>
    <row r="35" spans="1:2" ht="16.5" thickBot="1" x14ac:dyDescent="0.3">
      <c r="A35" s="16" t="s">
        <v>52</v>
      </c>
      <c r="B35" s="17">
        <f>B33/B27</f>
        <v>2.0580380572227845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topLeftCell="A12" zoomScale="85" zoomScaleNormal="85" workbookViewId="0">
      <selection activeCell="B27" sqref="B27"/>
    </sheetView>
  </sheetViews>
  <sheetFormatPr defaultRowHeight="15.75" x14ac:dyDescent="0.25"/>
  <cols>
    <col min="1" max="1" width="38.5703125" style="2" bestFit="1" customWidth="1"/>
    <col min="2" max="16384" width="9.140625" style="2"/>
  </cols>
  <sheetData>
    <row r="1" spans="1:2" x14ac:dyDescent="0.25">
      <c r="A1" s="2" t="s">
        <v>58</v>
      </c>
    </row>
    <row r="3" spans="1:2" x14ac:dyDescent="0.25">
      <c r="A3" s="2" t="s">
        <v>65</v>
      </c>
      <c r="B3" s="2">
        <v>15</v>
      </c>
    </row>
    <row r="5" spans="1:2" x14ac:dyDescent="0.25">
      <c r="A5" s="9" t="s">
        <v>55</v>
      </c>
    </row>
    <row r="6" spans="1:2" x14ac:dyDescent="0.25">
      <c r="A6" s="5" t="s">
        <v>56</v>
      </c>
      <c r="B6" s="2">
        <f>4*25.4</f>
        <v>101.6</v>
      </c>
    </row>
    <row r="7" spans="1:2" x14ac:dyDescent="0.25">
      <c r="A7" s="5" t="s">
        <v>57</v>
      </c>
      <c r="B7" s="2">
        <f>7*25.4</f>
        <v>177.79999999999998</v>
      </c>
    </row>
    <row r="8" spans="1:2" x14ac:dyDescent="0.25">
      <c r="A8" s="5" t="s">
        <v>59</v>
      </c>
      <c r="B8" s="2">
        <f>25.4</f>
        <v>25.4</v>
      </c>
    </row>
    <row r="9" spans="1:2" x14ac:dyDescent="0.25">
      <c r="A9" s="5" t="s">
        <v>60</v>
      </c>
      <c r="B9" s="2">
        <f>1.5*25.4</f>
        <v>38.099999999999994</v>
      </c>
    </row>
    <row r="10" spans="1:2" x14ac:dyDescent="0.25">
      <c r="A10" s="5" t="s">
        <v>61</v>
      </c>
      <c r="B10" s="2">
        <f>0.5*B8</f>
        <v>12.7</v>
      </c>
    </row>
    <row r="11" spans="1:2" x14ac:dyDescent="0.25">
      <c r="A11" s="5" t="s">
        <v>64</v>
      </c>
      <c r="B11" s="2">
        <f>B9/2</f>
        <v>19.049999999999997</v>
      </c>
    </row>
    <row r="12" spans="1:2" x14ac:dyDescent="0.25">
      <c r="A12" s="4" t="s">
        <v>62</v>
      </c>
      <c r="B12" s="3">
        <f>B6-B10</f>
        <v>88.899999999999991</v>
      </c>
    </row>
    <row r="13" spans="1:2" x14ac:dyDescent="0.25">
      <c r="A13" s="4" t="s">
        <v>63</v>
      </c>
      <c r="B13" s="3">
        <f>B7-B11</f>
        <v>158.75</v>
      </c>
    </row>
    <row r="14" spans="1:2" x14ac:dyDescent="0.25">
      <c r="A14" s="4"/>
      <c r="B14" s="3"/>
    </row>
    <row r="15" spans="1:2" x14ac:dyDescent="0.25">
      <c r="A15" s="20" t="s">
        <v>66</v>
      </c>
      <c r="B15" s="19">
        <f>2*25.4</f>
        <v>50.8</v>
      </c>
    </row>
    <row r="16" spans="1:2" x14ac:dyDescent="0.25">
      <c r="A16" s="4"/>
      <c r="B16" s="3"/>
    </row>
    <row r="17" spans="1:3" x14ac:dyDescent="0.25">
      <c r="A17" s="9" t="s">
        <v>32</v>
      </c>
    </row>
    <row r="18" spans="1:3" x14ac:dyDescent="0.25">
      <c r="A18" s="5" t="s">
        <v>33</v>
      </c>
      <c r="B18" s="2">
        <v>6</v>
      </c>
      <c r="C18" s="2" t="s">
        <v>67</v>
      </c>
    </row>
    <row r="19" spans="1:3" x14ac:dyDescent="0.25">
      <c r="A19" s="4" t="s">
        <v>34</v>
      </c>
      <c r="B19" s="14">
        <f>(2/3)*B18</f>
        <v>4</v>
      </c>
    </row>
    <row r="20" spans="1:3" x14ac:dyDescent="0.25">
      <c r="A20" s="5" t="s">
        <v>36</v>
      </c>
      <c r="B20" s="2">
        <v>400</v>
      </c>
    </row>
    <row r="21" spans="1:3" x14ac:dyDescent="0.25">
      <c r="A21" s="5" t="s">
        <v>38</v>
      </c>
      <c r="B21" s="2">
        <f>2*25.4</f>
        <v>50.8</v>
      </c>
    </row>
    <row r="22" spans="1:3" x14ac:dyDescent="0.25">
      <c r="A22" s="5" t="s">
        <v>41</v>
      </c>
      <c r="B22" s="2">
        <v>10</v>
      </c>
    </row>
    <row r="23" spans="1:3" x14ac:dyDescent="0.25">
      <c r="A23" s="5"/>
    </row>
    <row r="24" spans="1:3" x14ac:dyDescent="0.25">
      <c r="A24" s="9" t="s">
        <v>53</v>
      </c>
    </row>
    <row r="25" spans="1:3" x14ac:dyDescent="0.25">
      <c r="A25" s="4" t="s">
        <v>40</v>
      </c>
      <c r="B25" s="3">
        <f>B3*PI()*B18*B21</f>
        <v>14363.361612212531</v>
      </c>
    </row>
    <row r="26" spans="1:3" x14ac:dyDescent="0.25">
      <c r="A26" s="4" t="s">
        <v>42</v>
      </c>
      <c r="B26" s="3">
        <f>B20*PI()*B19^2/4</f>
        <v>5026.5482457436692</v>
      </c>
    </row>
    <row r="27" spans="1:3" x14ac:dyDescent="0.25">
      <c r="A27" s="4" t="s">
        <v>46</v>
      </c>
      <c r="B27" s="3">
        <f>B3*PI()*B22*B21</f>
        <v>23938.93602035422</v>
      </c>
    </row>
    <row r="28" spans="1:3" x14ac:dyDescent="0.25">
      <c r="A28" s="9" t="s">
        <v>43</v>
      </c>
      <c r="B28" s="2">
        <v>3</v>
      </c>
    </row>
    <row r="29" spans="1:3" x14ac:dyDescent="0.25">
      <c r="A29" s="5" t="s">
        <v>44</v>
      </c>
      <c r="B29" s="13">
        <f>MIN(B25:B27)/B28</f>
        <v>1675.5160819145565</v>
      </c>
    </row>
    <row r="31" spans="1:3" x14ac:dyDescent="0.25">
      <c r="A31" s="5" t="s">
        <v>47</v>
      </c>
      <c r="B31" s="2">
        <v>1000</v>
      </c>
    </row>
    <row r="32" spans="1:3" x14ac:dyDescent="0.25">
      <c r="A32" s="5" t="s">
        <v>70</v>
      </c>
      <c r="B32" s="2">
        <v>500</v>
      </c>
    </row>
    <row r="33" spans="1:2" x14ac:dyDescent="0.25">
      <c r="A33" s="5" t="s">
        <v>71</v>
      </c>
      <c r="B33" s="2">
        <f>500</f>
        <v>500</v>
      </c>
    </row>
    <row r="34" spans="1:2" x14ac:dyDescent="0.25">
      <c r="A34" s="4" t="s">
        <v>72</v>
      </c>
      <c r="B34" s="3">
        <f>B31*B32</f>
        <v>500000</v>
      </c>
    </row>
    <row r="35" spans="1:2" x14ac:dyDescent="0.25">
      <c r="A35" s="4" t="s">
        <v>73</v>
      </c>
      <c r="B35" s="3">
        <f>B33*B31</f>
        <v>500000</v>
      </c>
    </row>
    <row r="36" spans="1:2" x14ac:dyDescent="0.25">
      <c r="A36" s="5"/>
    </row>
    <row r="37" spans="1:2" x14ac:dyDescent="0.25">
      <c r="A37" s="15" t="s">
        <v>75</v>
      </c>
      <c r="B37" s="13">
        <f>B35/B13</f>
        <v>3149.6062992125985</v>
      </c>
    </row>
    <row r="38" spans="1:2" x14ac:dyDescent="0.25">
      <c r="A38" s="15" t="s">
        <v>74</v>
      </c>
      <c r="B38" s="14">
        <f>B34/B12</f>
        <v>5624.2969628796409</v>
      </c>
    </row>
    <row r="39" spans="1:2" ht="16.5" thickBot="1" x14ac:dyDescent="0.3"/>
    <row r="40" spans="1:2" ht="16.5" thickBot="1" x14ac:dyDescent="0.3">
      <c r="A40" s="16" t="s">
        <v>68</v>
      </c>
      <c r="B40" s="17">
        <f>B38/B29</f>
        <v>3.3567549864713588</v>
      </c>
    </row>
    <row r="41" spans="1:2" ht="16.5" thickBot="1" x14ac:dyDescent="0.3">
      <c r="A41" s="21" t="s">
        <v>69</v>
      </c>
      <c r="B41" s="22">
        <f>B37/B29</f>
        <v>1.8797827924239605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zoomScale="85" zoomScaleNormal="85" workbookViewId="0">
      <selection activeCell="A15" sqref="A15:B16"/>
    </sheetView>
  </sheetViews>
  <sheetFormatPr defaultRowHeight="15" x14ac:dyDescent="0.25"/>
  <cols>
    <col min="1" max="1" width="37.7109375" bestFit="1" customWidth="1"/>
    <col min="4" max="4" width="30.7109375" bestFit="1" customWidth="1"/>
  </cols>
  <sheetData>
    <row r="1" spans="1:3" x14ac:dyDescent="0.25">
      <c r="A1" t="s">
        <v>76</v>
      </c>
    </row>
    <row r="3" spans="1:3" x14ac:dyDescent="0.25">
      <c r="A3" s="10" t="s">
        <v>86</v>
      </c>
    </row>
    <row r="4" spans="1:3" x14ac:dyDescent="0.25">
      <c r="A4" s="1" t="s">
        <v>29</v>
      </c>
      <c r="B4">
        <v>1000</v>
      </c>
    </row>
    <row r="5" spans="1:3" x14ac:dyDescent="0.25">
      <c r="A5" s="1" t="s">
        <v>9</v>
      </c>
      <c r="B5" s="11">
        <f>0.75*25.4</f>
        <v>19.049999999999997</v>
      </c>
    </row>
    <row r="6" spans="1:3" x14ac:dyDescent="0.25">
      <c r="A6" s="1" t="s">
        <v>77</v>
      </c>
      <c r="B6">
        <v>15</v>
      </c>
      <c r="C6" t="s">
        <v>90</v>
      </c>
    </row>
    <row r="8" spans="1:3" x14ac:dyDescent="0.25">
      <c r="A8" s="10" t="s">
        <v>79</v>
      </c>
    </row>
    <row r="9" spans="1:3" x14ac:dyDescent="0.25">
      <c r="A9" s="1" t="s">
        <v>80</v>
      </c>
      <c r="B9">
        <f>2*25.4</f>
        <v>50.8</v>
      </c>
    </row>
    <row r="10" spans="1:3" x14ac:dyDescent="0.25">
      <c r="A10" s="1" t="s">
        <v>30</v>
      </c>
      <c r="B10">
        <v>500</v>
      </c>
    </row>
    <row r="11" spans="1:3" x14ac:dyDescent="0.25">
      <c r="A11" s="1" t="s">
        <v>88</v>
      </c>
      <c r="B11">
        <f>0.5*B9</f>
        <v>25.4</v>
      </c>
    </row>
    <row r="12" spans="1:3" ht="15.75" x14ac:dyDescent="0.25">
      <c r="A12" s="9" t="s">
        <v>78</v>
      </c>
      <c r="B12" s="2"/>
      <c r="C12" s="2"/>
    </row>
    <row r="13" spans="1:3" ht="15.75" x14ac:dyDescent="0.25">
      <c r="A13" s="5" t="s">
        <v>33</v>
      </c>
      <c r="B13" s="2">
        <v>8</v>
      </c>
      <c r="C13" s="2"/>
    </row>
    <row r="14" spans="1:3" ht="15.75" x14ac:dyDescent="0.25">
      <c r="A14" s="18" t="s">
        <v>34</v>
      </c>
      <c r="B14" s="23">
        <v>6.5</v>
      </c>
      <c r="C14" s="2" t="s">
        <v>81</v>
      </c>
    </row>
    <row r="15" spans="1:3" ht="15.75" x14ac:dyDescent="0.25">
      <c r="A15" s="5" t="s">
        <v>82</v>
      </c>
      <c r="B15" s="2">
        <v>400</v>
      </c>
      <c r="C15" s="2"/>
    </row>
    <row r="16" spans="1:3" ht="15.75" x14ac:dyDescent="0.25">
      <c r="A16" s="5" t="s">
        <v>83</v>
      </c>
      <c r="B16" s="2">
        <v>530</v>
      </c>
      <c r="C16" s="2"/>
    </row>
    <row r="17" spans="1:5" ht="15.75" x14ac:dyDescent="0.25">
      <c r="A17" s="5" t="s">
        <v>84</v>
      </c>
      <c r="B17" s="2">
        <v>6.5</v>
      </c>
      <c r="C17" s="2"/>
    </row>
    <row r="18" spans="1:5" ht="15.75" x14ac:dyDescent="0.25">
      <c r="A18" s="5" t="s">
        <v>41</v>
      </c>
      <c r="B18" s="2">
        <v>10</v>
      </c>
      <c r="C18" s="2"/>
    </row>
    <row r="19" spans="1:5" ht="15.75" x14ac:dyDescent="0.25">
      <c r="A19" s="5"/>
      <c r="B19" s="2"/>
      <c r="C19" s="2"/>
    </row>
    <row r="20" spans="1:5" ht="15.75" x14ac:dyDescent="0.25">
      <c r="A20" s="9" t="s">
        <v>53</v>
      </c>
      <c r="B20" s="2"/>
      <c r="C20" s="2"/>
    </row>
    <row r="21" spans="1:5" ht="15.75" x14ac:dyDescent="0.25">
      <c r="A21" s="4" t="s">
        <v>85</v>
      </c>
      <c r="B21" s="3">
        <f>B6*PI()*B13*B5</f>
        <v>7181.6808061062657</v>
      </c>
      <c r="C21" s="2"/>
    </row>
    <row r="22" spans="1:5" ht="15.75" x14ac:dyDescent="0.25">
      <c r="A22" s="4" t="s">
        <v>42</v>
      </c>
      <c r="B22" s="3">
        <f>B15*PI()*B14^2/4</f>
        <v>13273.228961416877</v>
      </c>
      <c r="C22" s="2"/>
    </row>
    <row r="23" spans="1:5" ht="15.75" x14ac:dyDescent="0.25">
      <c r="A23" s="4" t="s">
        <v>87</v>
      </c>
      <c r="B23" s="3">
        <f>B6*PI()*B18*B5</f>
        <v>8977.101007632833</v>
      </c>
      <c r="C23" s="2"/>
    </row>
    <row r="24" spans="1:5" ht="15.75" x14ac:dyDescent="0.25">
      <c r="A24" s="9" t="s">
        <v>43</v>
      </c>
      <c r="B24" s="2">
        <v>3</v>
      </c>
      <c r="C24" s="2"/>
    </row>
    <row r="25" spans="1:5" ht="15.75" x14ac:dyDescent="0.25">
      <c r="A25" s="5" t="s">
        <v>44</v>
      </c>
      <c r="B25" s="2">
        <f>MIN(B21:B23)/B24</f>
        <v>2393.8936020354217</v>
      </c>
      <c r="C25" s="2"/>
    </row>
    <row r="26" spans="1:5" ht="15.75" x14ac:dyDescent="0.25">
      <c r="A26" s="2"/>
      <c r="B26" s="2"/>
      <c r="C26" s="2"/>
    </row>
    <row r="27" spans="1:5" ht="15.75" x14ac:dyDescent="0.25">
      <c r="A27" s="5" t="s">
        <v>47</v>
      </c>
      <c r="B27" s="2">
        <v>700</v>
      </c>
      <c r="C27" s="2"/>
    </row>
    <row r="28" spans="1:5" ht="15.75" x14ac:dyDescent="0.25">
      <c r="A28" s="5" t="s">
        <v>48</v>
      </c>
      <c r="B28" s="2">
        <v>500</v>
      </c>
      <c r="C28" s="2"/>
      <c r="D28" t="s">
        <v>89</v>
      </c>
    </row>
    <row r="29" spans="1:5" ht="15.75" x14ac:dyDescent="0.25">
      <c r="A29" s="4" t="s">
        <v>49</v>
      </c>
      <c r="B29" s="3">
        <f>B27*B28</f>
        <v>350000</v>
      </c>
      <c r="C29" s="2"/>
      <c r="D29" t="s">
        <v>24</v>
      </c>
      <c r="E29" s="12">
        <f>B27*B28^3/(3*7400*B10*B5^3/12)</f>
        <v>13.683001678898936</v>
      </c>
    </row>
    <row r="30" spans="1:5" ht="15.75" x14ac:dyDescent="0.25">
      <c r="A30" s="5"/>
      <c r="B30" s="2"/>
      <c r="C30" s="2"/>
      <c r="D30" t="s">
        <v>91</v>
      </c>
      <c r="E30" s="24" t="b">
        <f>IF(E29&gt;B6,TRUE,FALSE)</f>
        <v>0</v>
      </c>
    </row>
    <row r="31" spans="1:5" ht="15.75" x14ac:dyDescent="0.25">
      <c r="A31" s="15" t="s">
        <v>51</v>
      </c>
      <c r="B31" s="3">
        <f>B29/B11</f>
        <v>13779.527559055119</v>
      </c>
      <c r="C31" s="2"/>
    </row>
    <row r="32" spans="1:5" ht="16.5" thickBot="1" x14ac:dyDescent="0.3">
      <c r="A32" s="2"/>
      <c r="B32" s="2"/>
      <c r="C32" s="2"/>
    </row>
    <row r="33" spans="1:3" ht="16.5" thickBot="1" x14ac:dyDescent="0.3">
      <c r="A33" s="16" t="s">
        <v>52</v>
      </c>
      <c r="B33" s="17">
        <f>B31/B25</f>
        <v>5.7561152873874581</v>
      </c>
      <c r="C33" s="2"/>
    </row>
  </sheetData>
  <conditionalFormatting sqref="D30:E30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"/>
  <sheetViews>
    <sheetView tabSelected="1" topLeftCell="A40" zoomScale="70" zoomScaleNormal="70" workbookViewId="0">
      <selection activeCell="S60" sqref="S60"/>
    </sheetView>
  </sheetViews>
  <sheetFormatPr defaultRowHeight="15.75" x14ac:dyDescent="0.25"/>
  <cols>
    <col min="1" max="1" width="30.28515625" style="2" bestFit="1" customWidth="1"/>
    <col min="2" max="16384" width="9.140625" style="2"/>
  </cols>
  <sheetData>
    <row r="1" spans="1:2" x14ac:dyDescent="0.25">
      <c r="A1" s="2" t="s">
        <v>94</v>
      </c>
    </row>
    <row r="2" spans="1:2" x14ac:dyDescent="0.25">
      <c r="A2" s="2" t="s">
        <v>93</v>
      </c>
    </row>
    <row r="3" spans="1:2" x14ac:dyDescent="0.25">
      <c r="A3" s="2" t="s">
        <v>9</v>
      </c>
      <c r="B3" s="2">
        <v>25.4</v>
      </c>
    </row>
    <row r="4" spans="1:2" x14ac:dyDescent="0.25">
      <c r="A4" s="2" t="s">
        <v>77</v>
      </c>
      <c r="B4" s="2">
        <v>15</v>
      </c>
    </row>
    <row r="7" spans="1:2" x14ac:dyDescent="0.25">
      <c r="A7" s="27" t="s">
        <v>118</v>
      </c>
    </row>
    <row r="8" spans="1:2" x14ac:dyDescent="0.25">
      <c r="A8" s="25" t="s">
        <v>126</v>
      </c>
      <c r="B8" s="2">
        <v>6</v>
      </c>
    </row>
    <row r="9" spans="1:2" x14ac:dyDescent="0.25">
      <c r="A9" s="2" t="s">
        <v>95</v>
      </c>
    </row>
    <row r="10" spans="1:2" x14ac:dyDescent="0.25">
      <c r="A10" s="2" t="s">
        <v>96</v>
      </c>
      <c r="B10" s="2">
        <v>6</v>
      </c>
    </row>
    <row r="11" spans="1:2" x14ac:dyDescent="0.25">
      <c r="A11" s="2" t="s">
        <v>41</v>
      </c>
      <c r="B11" s="2">
        <v>10</v>
      </c>
    </row>
    <row r="12" spans="1:2" x14ac:dyDescent="0.25">
      <c r="A12" s="5" t="s">
        <v>97</v>
      </c>
      <c r="B12" s="2">
        <v>400</v>
      </c>
    </row>
    <row r="13" spans="1:2" x14ac:dyDescent="0.25">
      <c r="A13" s="5" t="s">
        <v>98</v>
      </c>
      <c r="B13" s="2">
        <v>530</v>
      </c>
    </row>
    <row r="14" spans="1:2" x14ac:dyDescent="0.25">
      <c r="A14" s="2" t="s">
        <v>108</v>
      </c>
      <c r="B14" s="13">
        <f>(7/16)*25.4</f>
        <v>11.112499999999999</v>
      </c>
    </row>
    <row r="16" spans="1:2" x14ac:dyDescent="0.25">
      <c r="A16" s="2" t="s">
        <v>99</v>
      </c>
    </row>
    <row r="17" spans="1:2" x14ac:dyDescent="0.25">
      <c r="A17" s="2" t="s">
        <v>115</v>
      </c>
      <c r="B17" s="2">
        <v>69000</v>
      </c>
    </row>
    <row r="18" spans="1:2" x14ac:dyDescent="0.25">
      <c r="A18" s="2" t="s">
        <v>100</v>
      </c>
      <c r="B18" s="2">
        <v>50</v>
      </c>
    </row>
    <row r="19" spans="1:2" x14ac:dyDescent="0.25">
      <c r="A19" s="2" t="s">
        <v>101</v>
      </c>
      <c r="B19" s="2">
        <v>6</v>
      </c>
    </row>
    <row r="20" spans="1:2" x14ac:dyDescent="0.25">
      <c r="A20" s="2" t="s">
        <v>102</v>
      </c>
      <c r="B20" s="2">
        <v>30</v>
      </c>
    </row>
    <row r="21" spans="1:2" x14ac:dyDescent="0.25">
      <c r="A21" s="2" t="s">
        <v>50</v>
      </c>
      <c r="B21" s="2">
        <v>25</v>
      </c>
    </row>
    <row r="23" spans="1:2" x14ac:dyDescent="0.25">
      <c r="A23" s="2" t="s">
        <v>107</v>
      </c>
    </row>
    <row r="24" spans="1:2" x14ac:dyDescent="0.25">
      <c r="A24" s="4" t="s">
        <v>109</v>
      </c>
      <c r="B24" s="30">
        <f>B4*PI()*B14*B3</f>
        <v>13301.071326309313</v>
      </c>
    </row>
    <row r="25" spans="1:2" x14ac:dyDescent="0.25">
      <c r="A25" s="4" t="s">
        <v>110</v>
      </c>
      <c r="B25" s="30">
        <f>B4*PI()*B10*B3</f>
        <v>7181.6808061062657</v>
      </c>
    </row>
    <row r="26" spans="1:2" x14ac:dyDescent="0.25">
      <c r="A26" s="4" t="s">
        <v>112</v>
      </c>
      <c r="B26" s="30">
        <f>B12*PI()*B10^2/4</f>
        <v>11309.733552923255</v>
      </c>
    </row>
    <row r="27" spans="1:2" x14ac:dyDescent="0.25">
      <c r="A27" s="5" t="s">
        <v>43</v>
      </c>
      <c r="B27" s="31">
        <v>3</v>
      </c>
    </row>
    <row r="28" spans="1:2" x14ac:dyDescent="0.25">
      <c r="A28" s="4" t="s">
        <v>111</v>
      </c>
      <c r="B28" s="30">
        <f>MIN(B24:B26)/B27</f>
        <v>2393.8936020354217</v>
      </c>
    </row>
    <row r="31" spans="1:2" x14ac:dyDescent="0.25">
      <c r="A31" s="2" t="s">
        <v>103</v>
      </c>
    </row>
    <row r="32" spans="1:2" x14ac:dyDescent="0.25">
      <c r="A32" s="5" t="s">
        <v>104</v>
      </c>
      <c r="B32" s="2">
        <v>1000</v>
      </c>
    </row>
    <row r="33" spans="1:3" x14ac:dyDescent="0.25">
      <c r="A33" s="5" t="s">
        <v>105</v>
      </c>
      <c r="B33" s="2">
        <f>B32*25</f>
        <v>25000</v>
      </c>
    </row>
    <row r="34" spans="1:3" x14ac:dyDescent="0.25">
      <c r="A34" s="5" t="s">
        <v>106</v>
      </c>
      <c r="B34" s="2">
        <f>B33/B21</f>
        <v>1000</v>
      </c>
    </row>
    <row r="36" spans="1:3" x14ac:dyDescent="0.25">
      <c r="A36" s="28" t="s">
        <v>113</v>
      </c>
      <c r="B36" s="29">
        <f>B34/B28</f>
        <v>0.41772950942754694</v>
      </c>
    </row>
    <row r="37" spans="1:3" x14ac:dyDescent="0.25">
      <c r="A37" s="28" t="s">
        <v>114</v>
      </c>
      <c r="B37" s="32">
        <f>B32*B20^3/(3*B17*B18*B19^3/12)</f>
        <v>0.14492753623188406</v>
      </c>
      <c r="C37" s="2" t="s">
        <v>116</v>
      </c>
    </row>
    <row r="38" spans="1:3" x14ac:dyDescent="0.25">
      <c r="A38" s="28" t="s">
        <v>117</v>
      </c>
      <c r="B38" s="28">
        <f>B32/B37</f>
        <v>6900</v>
      </c>
    </row>
    <row r="41" spans="1:3" x14ac:dyDescent="0.25">
      <c r="A41" s="27" t="s">
        <v>119</v>
      </c>
    </row>
    <row r="42" spans="1:3" x14ac:dyDescent="0.25">
      <c r="A42" s="25" t="s">
        <v>120</v>
      </c>
    </row>
    <row r="43" spans="1:3" x14ac:dyDescent="0.25">
      <c r="A43" s="26" t="s">
        <v>33</v>
      </c>
      <c r="B43" s="2">
        <v>2.8</v>
      </c>
    </row>
    <row r="44" spans="1:3" x14ac:dyDescent="0.25">
      <c r="A44" s="26" t="s">
        <v>34</v>
      </c>
      <c r="B44" s="2">
        <v>2</v>
      </c>
    </row>
    <row r="45" spans="1:3" x14ac:dyDescent="0.25">
      <c r="A45" s="26" t="s">
        <v>41</v>
      </c>
      <c r="B45" s="2">
        <v>4.5999999999999996</v>
      </c>
    </row>
    <row r="46" spans="1:3" x14ac:dyDescent="0.25">
      <c r="A46" s="26" t="s">
        <v>38</v>
      </c>
      <c r="B46" s="2">
        <v>5</v>
      </c>
      <c r="C46" s="2" t="s">
        <v>122</v>
      </c>
    </row>
    <row r="47" spans="1:3" x14ac:dyDescent="0.25">
      <c r="A47" s="5" t="s">
        <v>121</v>
      </c>
      <c r="B47" s="2">
        <v>400</v>
      </c>
    </row>
    <row r="48" spans="1:3" x14ac:dyDescent="0.25">
      <c r="A48" s="5" t="s">
        <v>83</v>
      </c>
      <c r="B48" s="2">
        <v>530</v>
      </c>
    </row>
    <row r="50" spans="1:3" x14ac:dyDescent="0.25">
      <c r="A50" s="9" t="s">
        <v>127</v>
      </c>
    </row>
    <row r="51" spans="1:3" x14ac:dyDescent="0.25">
      <c r="A51" s="4" t="s">
        <v>9</v>
      </c>
      <c r="B51" s="3">
        <v>6</v>
      </c>
    </row>
    <row r="52" spans="1:3" x14ac:dyDescent="0.25">
      <c r="A52" s="4" t="s">
        <v>128</v>
      </c>
      <c r="B52" s="3">
        <v>207</v>
      </c>
      <c r="C52" s="2" t="s">
        <v>130</v>
      </c>
    </row>
    <row r="53" spans="1:3" x14ac:dyDescent="0.25">
      <c r="A53" s="4" t="s">
        <v>129</v>
      </c>
      <c r="B53" s="3">
        <v>310</v>
      </c>
    </row>
    <row r="54" spans="1:3" x14ac:dyDescent="0.25">
      <c r="A54" s="5"/>
    </row>
    <row r="55" spans="1:3" x14ac:dyDescent="0.25">
      <c r="A55" s="9" t="s">
        <v>123</v>
      </c>
    </row>
    <row r="56" spans="1:3" x14ac:dyDescent="0.25">
      <c r="A56" s="4" t="s">
        <v>109</v>
      </c>
      <c r="B56" s="14">
        <f>PI()*B45*B51*B52</f>
        <v>17948.547148489204</v>
      </c>
    </row>
    <row r="57" spans="1:3" x14ac:dyDescent="0.25">
      <c r="A57" s="4" t="s">
        <v>124</v>
      </c>
      <c r="B57" s="14">
        <f>PI()*B43*B46*B52</f>
        <v>9104.3355101032212</v>
      </c>
    </row>
    <row r="58" spans="1:3" x14ac:dyDescent="0.25">
      <c r="A58" s="4" t="s">
        <v>125</v>
      </c>
      <c r="B58" s="14">
        <f>B48*PI()*B44^2*0.25</f>
        <v>1665.0441064025904</v>
      </c>
    </row>
    <row r="59" spans="1:3" x14ac:dyDescent="0.25">
      <c r="A59" s="5" t="s">
        <v>43</v>
      </c>
      <c r="B59" s="13">
        <v>3</v>
      </c>
    </row>
    <row r="60" spans="1:3" x14ac:dyDescent="0.25">
      <c r="A60" s="4" t="s">
        <v>111</v>
      </c>
      <c r="B60" s="14">
        <f>MIN(B56:B58)/B59</f>
        <v>555.0147021341968</v>
      </c>
    </row>
    <row r="62" spans="1:3" x14ac:dyDescent="0.25">
      <c r="A62" s="9" t="s">
        <v>131</v>
      </c>
    </row>
    <row r="63" spans="1:3" x14ac:dyDescent="0.25">
      <c r="A63" s="5" t="s">
        <v>133</v>
      </c>
      <c r="B63" s="2">
        <v>800</v>
      </c>
    </row>
    <row r="64" spans="1:3" x14ac:dyDescent="0.25">
      <c r="A64" s="5" t="s">
        <v>105</v>
      </c>
      <c r="B64" s="2">
        <f>B63*26</f>
        <v>20800</v>
      </c>
    </row>
    <row r="65" spans="1:2" x14ac:dyDescent="0.25">
      <c r="A65" s="5" t="s">
        <v>134</v>
      </c>
      <c r="B65" s="2">
        <v>6</v>
      </c>
    </row>
    <row r="66" spans="1:2" x14ac:dyDescent="0.25">
      <c r="A66" s="5" t="s">
        <v>106</v>
      </c>
      <c r="B66" s="13">
        <f>B64/B65</f>
        <v>3466.6666666666665</v>
      </c>
    </row>
    <row r="68" spans="1:2" x14ac:dyDescent="0.25">
      <c r="A68" s="28" t="s">
        <v>132</v>
      </c>
      <c r="B68" s="29">
        <f>B66/B60</f>
        <v>6.246080785493251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Keeper Rail Pry</vt:lpstr>
      <vt:lpstr>Cantilever Attachment</vt:lpstr>
      <vt:lpstr>Box Rail Attachment</vt:lpstr>
      <vt:lpstr>Table Top Attachment</vt:lpstr>
      <vt:lpstr>Lower Bearing Block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Yadunund Vijay</dc:creator>
  <cp:lastModifiedBy>Yadunund Vijay</cp:lastModifiedBy>
  <dcterms:created xsi:type="dcterms:W3CDTF">2017-04-08T14:38:54Z</dcterms:created>
  <dcterms:modified xsi:type="dcterms:W3CDTF">2017-04-23T08:00:00Z</dcterms:modified>
</cp:coreProperties>
</file>