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showInkAnnotation="0" autoCompressPictures="0"/>
  <mc:AlternateContent xmlns:mc="http://schemas.openxmlformats.org/markup-compatibility/2006">
    <mc:Choice Requires="x15">
      <x15ac:absPath xmlns:x15ac="http://schemas.microsoft.com/office/spreadsheetml/2010/11/ac" url="C:\Users\Yadunund Vijay\Dropbox (Personal)\MIT Course Work\Spring\2.77\My Spreadsheets\"/>
    </mc:Choice>
  </mc:AlternateContent>
  <bookViews>
    <workbookView xWindow="0" yWindow="0" windowWidth="20490" windowHeight="7530" tabRatio="908" activeTab="5"/>
  </bookViews>
  <sheets>
    <sheet name="Summary" sheetId="7" r:id="rId1"/>
    <sheet name="Edit History" sheetId="33" r:id="rId2"/>
    <sheet name="CSs and Loads" sheetId="18" r:id="rId3"/>
    <sheet name="CS_1 Y carriage and table" sheetId="21" r:id="rId4"/>
    <sheet name="CS_2 vertical axis" sheetId="22" r:id="rId5"/>
    <sheet name="CS_3 Z member 3" sheetId="24" r:id="rId6"/>
    <sheet name="CS_4 member 4" sheetId="25" r:id="rId7"/>
    <sheet name="CS_5 Bridge" sheetId="26" r:id="rId8"/>
    <sheet name="CS_6 X-axis" sheetId="27" r:id="rId9"/>
    <sheet name="CS_7 Bed" sheetId="28" r:id="rId10"/>
    <sheet name="CS_8" sheetId="29" r:id="rId11"/>
    <sheet name="CS_9" sheetId="30" r:id="rId12"/>
    <sheet name="CS_10" sheetId="31" r:id="rId13"/>
    <sheet name="ref bearings, servo, structure" sheetId="9" r:id="rId14"/>
    <sheet name="X section properties" sheetId="8" r:id="rId15"/>
    <sheet name="actuators" sheetId="11" r:id="rId16"/>
    <sheet name="axis 1 properties" sheetId="34" r:id="rId17"/>
    <sheet name="Right Hand CS" sheetId="20" r:id="rId18"/>
    <sheet name="HTM formulas" sheetId="2" r:id="rId19"/>
  </sheet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71027" concurrentCalc="0"/>
  <extLst>
    <ext xmlns:mx="http://schemas.microsoft.com/office/mac/excel/2008/main" uri="{7523E5D3-25F3-A5E0-1632-64F254C22452}">
      <mx:ArchID Flags="2"/>
    </ext>
  </extLst>
</workbook>
</file>

<file path=xl/calcChain.xml><?xml version="1.0" encoding="utf-8"?>
<calcChain xmlns="http://schemas.openxmlformats.org/spreadsheetml/2006/main">
  <c r="K32" i="24" l="1"/>
  <c r="J32" i="24"/>
  <c r="J31" i="24"/>
  <c r="I32" i="24"/>
  <c r="I31" i="24"/>
  <c r="H32" i="24"/>
  <c r="H36" i="24"/>
  <c r="H37" i="24"/>
  <c r="H35" i="24"/>
  <c r="H36" i="22"/>
  <c r="I36" i="22"/>
  <c r="J36" i="22"/>
  <c r="K36" i="22"/>
  <c r="H37" i="22"/>
  <c r="I37" i="22"/>
  <c r="J37" i="22"/>
  <c r="K37" i="22"/>
  <c r="I35" i="22"/>
  <c r="J35" i="22"/>
  <c r="K35" i="22"/>
  <c r="H35" i="22"/>
  <c r="J8" i="25"/>
  <c r="L10" i="25"/>
  <c r="K9" i="25"/>
  <c r="H10" i="25"/>
  <c r="I9" i="25"/>
  <c r="K7" i="25"/>
  <c r="I7" i="25"/>
  <c r="L6" i="25"/>
  <c r="G5" i="25"/>
  <c r="H6" i="25"/>
  <c r="B14" i="27"/>
  <c r="B13" i="27"/>
  <c r="B19" i="27"/>
  <c r="B18" i="27"/>
  <c r="B17" i="27"/>
  <c r="B16" i="27"/>
  <c r="B14" i="25"/>
  <c r="B13" i="25"/>
  <c r="B9" i="25"/>
  <c r="B19" i="25"/>
  <c r="B18" i="25"/>
  <c r="B17" i="25"/>
  <c r="B16" i="25"/>
  <c r="B11" i="27"/>
  <c r="G5" i="27"/>
  <c r="B9" i="27"/>
  <c r="L10" i="27"/>
  <c r="B13" i="26"/>
  <c r="B14" i="26"/>
  <c r="B18" i="26"/>
  <c r="B21" i="26"/>
  <c r="B16" i="26"/>
  <c r="B20" i="26"/>
  <c r="B19" i="26"/>
  <c r="B17" i="26"/>
  <c r="B11" i="26"/>
  <c r="L10" i="24"/>
  <c r="K9" i="24"/>
  <c r="J8" i="24"/>
  <c r="I7" i="24"/>
  <c r="H6" i="24"/>
  <c r="G5" i="24"/>
  <c r="B19" i="24"/>
  <c r="B18" i="24"/>
  <c r="B17" i="24"/>
  <c r="B16" i="24"/>
  <c r="B11" i="24"/>
  <c r="H33" i="22"/>
  <c r="H31" i="22"/>
  <c r="C21" i="18"/>
  <c r="C25" i="18"/>
  <c r="B11" i="22"/>
  <c r="L10" i="22"/>
  <c r="G10" i="22"/>
  <c r="K9" i="22"/>
  <c r="J8" i="22"/>
  <c r="I8" i="22"/>
  <c r="J7" i="22"/>
  <c r="I7" i="22"/>
  <c r="H6" i="22"/>
  <c r="L5" i="22"/>
  <c r="G5" i="22"/>
  <c r="B19" i="22"/>
  <c r="B17" i="22"/>
  <c r="B18" i="22"/>
  <c r="B16" i="22"/>
  <c r="B14" i="22"/>
  <c r="B13" i="22"/>
  <c r="K33" i="21"/>
  <c r="K32" i="21"/>
  <c r="J33" i="21"/>
  <c r="J32" i="21"/>
  <c r="I33" i="21"/>
  <c r="I32" i="21"/>
  <c r="B18" i="21"/>
  <c r="L6" i="21"/>
  <c r="H10" i="21"/>
  <c r="B17" i="21"/>
  <c r="K7" i="21"/>
  <c r="I9" i="21"/>
  <c r="L10" i="21"/>
  <c r="B19" i="21"/>
  <c r="J8" i="21"/>
  <c r="H6" i="21"/>
  <c r="B16" i="21"/>
  <c r="G5" i="21"/>
  <c r="B20" i="21"/>
  <c r="H17" i="7"/>
  <c r="D20" i="21"/>
  <c r="C26" i="21"/>
  <c r="K9" i="21"/>
  <c r="I7" i="21"/>
  <c r="F17" i="8"/>
  <c r="D14" i="8"/>
  <c r="F19" i="8"/>
  <c r="D7" i="21"/>
  <c r="D13" i="21"/>
  <c r="D14" i="21"/>
  <c r="H41" i="21"/>
  <c r="H39" i="21"/>
  <c r="D12" i="21"/>
  <c r="H40" i="21"/>
  <c r="I40" i="21"/>
  <c r="J40" i="21"/>
  <c r="K40" i="21"/>
  <c r="I41" i="21"/>
  <c r="J41" i="21"/>
  <c r="K41" i="21"/>
  <c r="I39" i="21"/>
  <c r="J39" i="21"/>
  <c r="K39" i="21"/>
  <c r="D6" i="21"/>
  <c r="D10" i="21"/>
  <c r="H35" i="21"/>
  <c r="I35" i="21"/>
  <c r="I37" i="21"/>
  <c r="J35" i="21"/>
  <c r="J37" i="21"/>
  <c r="K35" i="21"/>
  <c r="K37" i="21"/>
  <c r="H37" i="21"/>
  <c r="H48" i="21"/>
  <c r="I48" i="21"/>
  <c r="J48" i="21"/>
  <c r="K48" i="21"/>
  <c r="H49" i="21"/>
  <c r="I49" i="21"/>
  <c r="J49" i="21"/>
  <c r="K49" i="21"/>
  <c r="I47" i="21"/>
  <c r="J47" i="21"/>
  <c r="K47" i="21"/>
  <c r="B11" i="21"/>
  <c r="A7" i="33"/>
  <c r="A8" i="33"/>
  <c r="A9" i="33"/>
  <c r="A10" i="33"/>
  <c r="A11" i="33"/>
  <c r="A12" i="33"/>
  <c r="A13" i="33"/>
  <c r="A14" i="33"/>
  <c r="A15" i="33"/>
  <c r="A16" i="33"/>
  <c r="A17" i="33"/>
  <c r="A18" i="33"/>
  <c r="A19" i="33"/>
  <c r="A20" i="33"/>
  <c r="E41" i="18"/>
  <c r="E42" i="18"/>
  <c r="E43" i="18"/>
  <c r="E37" i="18"/>
  <c r="E38" i="18"/>
  <c r="E39" i="18"/>
  <c r="C186" i="18"/>
  <c r="C154" i="18"/>
  <c r="C187" i="18"/>
  <c r="C185" i="18"/>
  <c r="A314" i="18"/>
  <c r="A281" i="18"/>
  <c r="A248" i="18"/>
  <c r="B11" i="28"/>
  <c r="B7" i="28"/>
  <c r="B15" i="28"/>
  <c r="B13" i="28"/>
  <c r="B18" i="28"/>
  <c r="B12" i="28"/>
  <c r="L5" i="28"/>
  <c r="L226" i="18"/>
  <c r="I7" i="28"/>
  <c r="I228" i="18"/>
  <c r="B17" i="28"/>
  <c r="I8" i="28"/>
  <c r="J7" i="28"/>
  <c r="J228" i="18"/>
  <c r="I229" i="18"/>
  <c r="J8" i="28"/>
  <c r="J229" i="18"/>
  <c r="K9" i="28"/>
  <c r="K230" i="18"/>
  <c r="G10" i="28"/>
  <c r="G231" i="18"/>
  <c r="A215" i="18"/>
  <c r="A182" i="18"/>
  <c r="G5" i="26"/>
  <c r="G160" i="18"/>
  <c r="L5" i="26"/>
  <c r="L160" i="18"/>
  <c r="H6" i="26"/>
  <c r="H161" i="18"/>
  <c r="A149" i="18"/>
  <c r="A116" i="18"/>
  <c r="B14" i="24"/>
  <c r="B13" i="24"/>
  <c r="G94" i="18"/>
  <c r="K94" i="18"/>
  <c r="H95" i="18"/>
  <c r="J95" i="18"/>
  <c r="H97" i="18"/>
  <c r="J97" i="18"/>
  <c r="G98" i="18"/>
  <c r="K98" i="18"/>
  <c r="B9" i="24"/>
  <c r="L99" i="18"/>
  <c r="A83" i="18"/>
  <c r="A50" i="18"/>
  <c r="B9" i="21"/>
  <c r="D18" i="25"/>
  <c r="D18" i="27"/>
  <c r="K31" i="22"/>
  <c r="I31" i="22"/>
  <c r="J31" i="22"/>
  <c r="D20" i="27"/>
  <c r="C25" i="27"/>
  <c r="D20" i="25"/>
  <c r="D7" i="25"/>
  <c r="H36" i="25"/>
  <c r="I36" i="25"/>
  <c r="J36" i="25"/>
  <c r="K36" i="25"/>
  <c r="H34" i="25"/>
  <c r="I34" i="25"/>
  <c r="J34" i="25"/>
  <c r="K34" i="25"/>
  <c r="D7" i="24"/>
  <c r="I35" i="24"/>
  <c r="J35" i="24"/>
  <c r="K35" i="24"/>
  <c r="I33" i="22"/>
  <c r="J33" i="22"/>
  <c r="K33" i="22"/>
  <c r="D7" i="22"/>
  <c r="D20" i="29"/>
  <c r="C25" i="29"/>
  <c r="D20" i="30"/>
  <c r="C25" i="30"/>
  <c r="D20" i="31"/>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B16" i="28"/>
  <c r="H6" i="28"/>
  <c r="H227" i="18"/>
  <c r="I227" i="18"/>
  <c r="J227" i="18"/>
  <c r="K227" i="18"/>
  <c r="L227" i="18"/>
  <c r="G228" i="18"/>
  <c r="H228" i="18"/>
  <c r="K228" i="18"/>
  <c r="L228" i="18"/>
  <c r="G229" i="18"/>
  <c r="H229" i="18"/>
  <c r="K229" i="18"/>
  <c r="L229" i="18"/>
  <c r="G230" i="18"/>
  <c r="H230" i="18"/>
  <c r="I230" i="18"/>
  <c r="J230" i="18"/>
  <c r="L230" i="18"/>
  <c r="H231" i="18"/>
  <c r="I231" i="18"/>
  <c r="J231" i="18"/>
  <c r="K231" i="18"/>
  <c r="L231" i="18"/>
  <c r="H226" i="18"/>
  <c r="I226" i="18"/>
  <c r="J226" i="18"/>
  <c r="K226" i="18"/>
  <c r="G5" i="28"/>
  <c r="G226" i="18"/>
  <c r="G194" i="18"/>
  <c r="H6" i="27"/>
  <c r="H194" i="18"/>
  <c r="I194" i="18"/>
  <c r="J6" i="27"/>
  <c r="J194" i="18"/>
  <c r="K194" i="18"/>
  <c r="L194" i="18"/>
  <c r="G195" i="18"/>
  <c r="H195" i="18"/>
  <c r="I7" i="27"/>
  <c r="I195" i="18"/>
  <c r="J195" i="18"/>
  <c r="K195" i="18"/>
  <c r="L195" i="18"/>
  <c r="G196" i="18"/>
  <c r="H8" i="27"/>
  <c r="H196" i="18"/>
  <c r="I196" i="18"/>
  <c r="J8" i="27"/>
  <c r="J196" i="18"/>
  <c r="K196" i="18"/>
  <c r="L196" i="18"/>
  <c r="G9" i="27"/>
  <c r="G197" i="18"/>
  <c r="H197" i="18"/>
  <c r="I197" i="18"/>
  <c r="J197" i="18"/>
  <c r="K9" i="27"/>
  <c r="K197" i="18"/>
  <c r="L197" i="18"/>
  <c r="G198" i="18"/>
  <c r="H198" i="18"/>
  <c r="I198" i="18"/>
  <c r="J198" i="18"/>
  <c r="K198" i="18"/>
  <c r="L198" i="18"/>
  <c r="H193" i="18"/>
  <c r="I193" i="18"/>
  <c r="J193" i="18"/>
  <c r="K5" i="27"/>
  <c r="K193" i="18"/>
  <c r="L193" i="18"/>
  <c r="G193" i="18"/>
  <c r="G161" i="18"/>
  <c r="I161" i="18"/>
  <c r="J161" i="18"/>
  <c r="K161" i="18"/>
  <c r="L161" i="18"/>
  <c r="G162" i="18"/>
  <c r="H162" i="18"/>
  <c r="I7" i="26"/>
  <c r="I162" i="18"/>
  <c r="I8" i="26"/>
  <c r="J7" i="26"/>
  <c r="J162" i="18"/>
  <c r="K162" i="18"/>
  <c r="L162" i="18"/>
  <c r="G163" i="18"/>
  <c r="H163" i="18"/>
  <c r="I163" i="18"/>
  <c r="J8" i="26"/>
  <c r="J163" i="18"/>
  <c r="K163" i="18"/>
  <c r="L163" i="18"/>
  <c r="G164" i="18"/>
  <c r="H164" i="18"/>
  <c r="I164" i="18"/>
  <c r="J164" i="18"/>
  <c r="B9" i="26"/>
  <c r="K9" i="26"/>
  <c r="K164" i="18"/>
  <c r="L164" i="18"/>
  <c r="G10" i="26"/>
  <c r="G165" i="18"/>
  <c r="H165" i="18"/>
  <c r="I165" i="18"/>
  <c r="J165" i="18"/>
  <c r="K165" i="18"/>
  <c r="L10" i="26"/>
  <c r="L165" i="18"/>
  <c r="H160" i="18"/>
  <c r="I160" i="18"/>
  <c r="J160" i="18"/>
  <c r="K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I95" i="18"/>
  <c r="K95" i="18"/>
  <c r="L95" i="18"/>
  <c r="G96" i="18"/>
  <c r="H96" i="18"/>
  <c r="I96" i="18"/>
  <c r="J96" i="18"/>
  <c r="K96" i="18"/>
  <c r="L96" i="18"/>
  <c r="G97" i="18"/>
  <c r="I97" i="18"/>
  <c r="K97" i="18"/>
  <c r="L97" i="18"/>
  <c r="H98" i="18"/>
  <c r="I98" i="18"/>
  <c r="J98" i="18"/>
  <c r="L98" i="18"/>
  <c r="G99" i="18"/>
  <c r="H99" i="18"/>
  <c r="I99" i="18"/>
  <c r="J99" i="18"/>
  <c r="K99" i="18"/>
  <c r="H94" i="18"/>
  <c r="I94" i="18"/>
  <c r="J94" i="18"/>
  <c r="L94" i="18"/>
  <c r="G62" i="18"/>
  <c r="I62" i="18"/>
  <c r="K62" i="18"/>
  <c r="L62" i="18"/>
  <c r="G63" i="18"/>
  <c r="H63" i="18"/>
  <c r="J63" i="18"/>
  <c r="K63" i="18"/>
  <c r="L63" i="18"/>
  <c r="G64" i="18"/>
  <c r="I64" i="18"/>
  <c r="K64" i="18"/>
  <c r="L64" i="18"/>
  <c r="H65" i="18"/>
  <c r="I65" i="18"/>
  <c r="J65" i="18"/>
  <c r="L65" i="18"/>
  <c r="G66" i="18"/>
  <c r="H66" i="18"/>
  <c r="I66" i="18"/>
  <c r="J66" i="18"/>
  <c r="K66" i="18"/>
  <c r="H61" i="18"/>
  <c r="I61" i="18"/>
  <c r="J61" i="18"/>
  <c r="L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I43" i="21"/>
  <c r="J43" i="21"/>
  <c r="K43" i="21"/>
  <c r="I44" i="21"/>
  <c r="J44" i="21"/>
  <c r="K44" i="21"/>
  <c r="I45" i="21"/>
  <c r="J45" i="21"/>
  <c r="K45" i="21"/>
  <c r="B21" i="22"/>
  <c r="B20" i="22"/>
  <c r="B9" i="22"/>
  <c r="D20" i="24"/>
  <c r="C27" i="24"/>
  <c r="B21" i="24"/>
  <c r="B20" i="24"/>
  <c r="S66" i="26"/>
  <c r="B21" i="27"/>
  <c r="B20" i="27"/>
  <c r="D20" i="26"/>
  <c r="D20" i="22"/>
  <c r="D20" i="28"/>
  <c r="D7" i="31"/>
  <c r="D13" i="31"/>
  <c r="D14" i="31"/>
  <c r="D12" i="31"/>
  <c r="D6" i="31"/>
  <c r="D10" i="31"/>
  <c r="D7" i="30"/>
  <c r="D13" i="30"/>
  <c r="D14" i="30"/>
  <c r="D12" i="30"/>
  <c r="D6" i="30"/>
  <c r="D10" i="30"/>
  <c r="D7" i="29"/>
  <c r="D13" i="29"/>
  <c r="D14" i="29"/>
  <c r="D12" i="29"/>
  <c r="D6" i="29"/>
  <c r="D10" i="29"/>
  <c r="D7" i="27"/>
  <c r="D13" i="27"/>
  <c r="D14" i="27"/>
  <c r="D12" i="27"/>
  <c r="D6" i="27"/>
  <c r="D10" i="27"/>
  <c r="D7" i="26"/>
  <c r="D13" i="26"/>
  <c r="D14" i="26"/>
  <c r="D12" i="26"/>
  <c r="D6" i="26"/>
  <c r="D10" i="26"/>
  <c r="D13" i="25"/>
  <c r="D14" i="25"/>
  <c r="D12" i="25"/>
  <c r="D6" i="25"/>
  <c r="D10" i="25"/>
  <c r="D13" i="24"/>
  <c r="D14" i="24"/>
  <c r="D12" i="24"/>
  <c r="D6" i="24"/>
  <c r="D10" i="24"/>
  <c r="D13" i="22"/>
  <c r="D14" i="22"/>
  <c r="D12" i="22"/>
  <c r="D10" i="22"/>
  <c r="D7" i="28"/>
  <c r="D13" i="28"/>
  <c r="H40" i="28"/>
  <c r="D14" i="28"/>
  <c r="H39" i="28"/>
  <c r="D12" i="28"/>
  <c r="H38" i="28"/>
  <c r="D6" i="28"/>
  <c r="D10" i="28"/>
  <c r="B21" i="28"/>
  <c r="B20" i="28"/>
  <c r="B19" i="28"/>
  <c r="B9" i="28"/>
  <c r="B28" i="9"/>
  <c r="B29" i="9"/>
  <c r="B35" i="9"/>
  <c r="B38" i="9"/>
  <c r="B36" i="9"/>
  <c r="B33" i="9"/>
  <c r="B37" i="9"/>
  <c r="F23" i="9"/>
  <c r="H23" i="9"/>
  <c r="G24" i="9"/>
  <c r="F25" i="9"/>
  <c r="H25" i="9"/>
  <c r="E26" i="9"/>
  <c r="I26" i="9"/>
  <c r="B26" i="9"/>
  <c r="J27" i="9"/>
  <c r="I22" i="9"/>
  <c r="E22" i="9"/>
  <c r="D7" i="8"/>
  <c r="S120" i="31"/>
  <c r="S121" i="31"/>
  <c r="S122" i="31"/>
  <c r="S123" i="31"/>
  <c r="R120" i="31"/>
  <c r="R121" i="31"/>
  <c r="R122" i="31"/>
  <c r="R123" i="31"/>
  <c r="Q120" i="31"/>
  <c r="Q121" i="31"/>
  <c r="Q122" i="31"/>
  <c r="Q123" i="31"/>
  <c r="P120" i="31"/>
  <c r="P121" i="31"/>
  <c r="P122" i="31"/>
  <c r="P123" i="31"/>
  <c r="O120" i="31"/>
  <c r="O121" i="31"/>
  <c r="O122" i="31"/>
  <c r="O123" i="31"/>
  <c r="N120" i="31"/>
  <c r="N121" i="31"/>
  <c r="N122" i="31"/>
  <c r="N123" i="31"/>
  <c r="M120" i="31"/>
  <c r="M121" i="31"/>
  <c r="M122" i="31"/>
  <c r="M123" i="31"/>
  <c r="L120" i="31"/>
  <c r="L121" i="31"/>
  <c r="L122" i="31"/>
  <c r="L123" i="31"/>
  <c r="K120" i="31"/>
  <c r="K121" i="31"/>
  <c r="K122" i="31"/>
  <c r="K123" i="31"/>
  <c r="J120" i="31"/>
  <c r="J121" i="31"/>
  <c r="J122" i="31"/>
  <c r="J123" i="31"/>
  <c r="I120" i="31"/>
  <c r="I121" i="31"/>
  <c r="I122" i="31"/>
  <c r="I123" i="31"/>
  <c r="H120" i="31"/>
  <c r="H121" i="31"/>
  <c r="H122" i="31"/>
  <c r="H123" i="31"/>
  <c r="S115" i="31"/>
  <c r="S116" i="31"/>
  <c r="S117" i="31"/>
  <c r="S118" i="31"/>
  <c r="R115" i="31"/>
  <c r="R116" i="31"/>
  <c r="R117" i="31"/>
  <c r="R118" i="31"/>
  <c r="Q115" i="31"/>
  <c r="Q116" i="31"/>
  <c r="Q117" i="31"/>
  <c r="Q118" i="31"/>
  <c r="P115" i="31"/>
  <c r="P116" i="31"/>
  <c r="P117" i="31"/>
  <c r="P118" i="31"/>
  <c r="O115" i="31"/>
  <c r="O116" i="31"/>
  <c r="O117" i="31"/>
  <c r="O118" i="31"/>
  <c r="N115" i="31"/>
  <c r="N116" i="31"/>
  <c r="N117" i="31"/>
  <c r="N118" i="31"/>
  <c r="M115" i="31"/>
  <c r="M116" i="31"/>
  <c r="M117" i="31"/>
  <c r="M118" i="31"/>
  <c r="L115" i="31"/>
  <c r="L116" i="31"/>
  <c r="L117" i="31"/>
  <c r="L118" i="31"/>
  <c r="K115" i="31"/>
  <c r="K116" i="31"/>
  <c r="K117" i="31"/>
  <c r="K118" i="31"/>
  <c r="J115" i="31"/>
  <c r="J116" i="31"/>
  <c r="J117" i="31"/>
  <c r="J118" i="31"/>
  <c r="I115" i="31"/>
  <c r="I116" i="31"/>
  <c r="I117" i="31"/>
  <c r="I118" i="31"/>
  <c r="H115" i="31"/>
  <c r="H116" i="31"/>
  <c r="H117" i="31"/>
  <c r="H118" i="31"/>
  <c r="S110" i="31"/>
  <c r="S111" i="31"/>
  <c r="S112" i="31"/>
  <c r="S113" i="31"/>
  <c r="R110" i="31"/>
  <c r="R111" i="31"/>
  <c r="R112" i="31"/>
  <c r="R113" i="31"/>
  <c r="Q110" i="31"/>
  <c r="Q111" i="31"/>
  <c r="Q112" i="31"/>
  <c r="Q113" i="31"/>
  <c r="P110" i="31"/>
  <c r="P111" i="31"/>
  <c r="P112" i="31"/>
  <c r="P113" i="31"/>
  <c r="O110" i="31"/>
  <c r="O111" i="31"/>
  <c r="O112" i="31"/>
  <c r="O113" i="31"/>
  <c r="N110" i="31"/>
  <c r="N111" i="31"/>
  <c r="N112" i="31"/>
  <c r="N113" i="31"/>
  <c r="M110" i="31"/>
  <c r="M111" i="31"/>
  <c r="M112" i="31"/>
  <c r="M113" i="31"/>
  <c r="L110" i="31"/>
  <c r="L111" i="31"/>
  <c r="L112" i="31"/>
  <c r="L113" i="31"/>
  <c r="K110" i="31"/>
  <c r="K111" i="31"/>
  <c r="K112" i="31"/>
  <c r="K113" i="31"/>
  <c r="J110" i="31"/>
  <c r="J111" i="31"/>
  <c r="J112" i="31"/>
  <c r="J113" i="31"/>
  <c r="I110" i="31"/>
  <c r="I111" i="31"/>
  <c r="I112" i="31"/>
  <c r="I113" i="31"/>
  <c r="H110" i="31"/>
  <c r="H111" i="31"/>
  <c r="H112" i="31"/>
  <c r="H113" i="31"/>
  <c r="S104" i="31"/>
  <c r="S105" i="31"/>
  <c r="S106" i="31"/>
  <c r="R104" i="31"/>
  <c r="R105" i="31"/>
  <c r="R106" i="31"/>
  <c r="Q104" i="31"/>
  <c r="Q105" i="31"/>
  <c r="Q106" i="31"/>
  <c r="P104" i="31"/>
  <c r="P105" i="31"/>
  <c r="P106" i="31"/>
  <c r="O104" i="31"/>
  <c r="O105" i="31"/>
  <c r="O106" i="31"/>
  <c r="N104" i="31"/>
  <c r="N105" i="31"/>
  <c r="N106" i="31"/>
  <c r="M104" i="31"/>
  <c r="M105" i="31"/>
  <c r="M106" i="31"/>
  <c r="L104" i="31"/>
  <c r="L105" i="31"/>
  <c r="L106" i="31"/>
  <c r="K48" i="31"/>
  <c r="K104" i="31"/>
  <c r="K47" i="31"/>
  <c r="K105" i="31"/>
  <c r="K106" i="31"/>
  <c r="J48" i="31"/>
  <c r="J104" i="31"/>
  <c r="J47" i="31"/>
  <c r="J105" i="31"/>
  <c r="J106" i="31"/>
  <c r="I48" i="31"/>
  <c r="I104" i="31"/>
  <c r="I47" i="31"/>
  <c r="I105" i="31"/>
  <c r="I106" i="31"/>
  <c r="H48" i="31"/>
  <c r="H104" i="31"/>
  <c r="H47" i="31"/>
  <c r="H105" i="31"/>
  <c r="H106" i="31"/>
  <c r="S100" i="31"/>
  <c r="S101" i="31"/>
  <c r="S102" i="31"/>
  <c r="R100" i="31"/>
  <c r="R101" i="31"/>
  <c r="R102" i="31"/>
  <c r="Q100" i="31"/>
  <c r="Q101" i="31"/>
  <c r="Q102" i="31"/>
  <c r="P100" i="31"/>
  <c r="P101" i="31"/>
  <c r="P102" i="31"/>
  <c r="O100" i="31"/>
  <c r="O101" i="31"/>
  <c r="O102" i="31"/>
  <c r="N100" i="31"/>
  <c r="N101" i="31"/>
  <c r="N102" i="31"/>
  <c r="M100" i="31"/>
  <c r="M101" i="31"/>
  <c r="M102" i="31"/>
  <c r="L100" i="31"/>
  <c r="L101" i="31"/>
  <c r="L102" i="31"/>
  <c r="K49" i="31"/>
  <c r="K100" i="31"/>
  <c r="K101" i="31"/>
  <c r="K102" i="31"/>
  <c r="J49" i="31"/>
  <c r="J100" i="31"/>
  <c r="J101" i="31"/>
  <c r="J102" i="31"/>
  <c r="I49" i="31"/>
  <c r="I100" i="31"/>
  <c r="I101" i="31"/>
  <c r="I102" i="31"/>
  <c r="H49" i="31"/>
  <c r="H100" i="31"/>
  <c r="H101" i="31"/>
  <c r="H102" i="31"/>
  <c r="S96" i="31"/>
  <c r="S97" i="31"/>
  <c r="S98" i="31"/>
  <c r="R96" i="31"/>
  <c r="R97" i="31"/>
  <c r="R98" i="31"/>
  <c r="Q96" i="31"/>
  <c r="Q97" i="31"/>
  <c r="Q98" i="31"/>
  <c r="P96" i="31"/>
  <c r="P97" i="31"/>
  <c r="P98" i="31"/>
  <c r="O96" i="31"/>
  <c r="O97" i="31"/>
  <c r="O98" i="31"/>
  <c r="N96" i="31"/>
  <c r="N97" i="31"/>
  <c r="N98" i="31"/>
  <c r="M96" i="31"/>
  <c r="M97" i="31"/>
  <c r="M98" i="31"/>
  <c r="L96" i="31"/>
  <c r="L97" i="31"/>
  <c r="L98" i="31"/>
  <c r="K96" i="31"/>
  <c r="K97" i="31"/>
  <c r="K98" i="31"/>
  <c r="J96" i="31"/>
  <c r="J97" i="31"/>
  <c r="J98" i="31"/>
  <c r="I96" i="31"/>
  <c r="I97" i="31"/>
  <c r="I98" i="31"/>
  <c r="H96" i="31"/>
  <c r="H97" i="31"/>
  <c r="H98" i="31"/>
  <c r="S120" i="30"/>
  <c r="S121" i="30"/>
  <c r="S122" i="30"/>
  <c r="S123" i="30"/>
  <c r="R120" i="30"/>
  <c r="R121" i="30"/>
  <c r="R122" i="30"/>
  <c r="R123" i="30"/>
  <c r="Q120" i="30"/>
  <c r="Q121" i="30"/>
  <c r="Q122" i="30"/>
  <c r="Q123" i="30"/>
  <c r="P120" i="30"/>
  <c r="P121" i="30"/>
  <c r="P122" i="30"/>
  <c r="P123" i="30"/>
  <c r="O120" i="30"/>
  <c r="O121" i="30"/>
  <c r="O122" i="30"/>
  <c r="O123" i="30"/>
  <c r="N120" i="30"/>
  <c r="N121" i="30"/>
  <c r="N122" i="30"/>
  <c r="N123" i="30"/>
  <c r="M120" i="30"/>
  <c r="M121" i="30"/>
  <c r="M122" i="30"/>
  <c r="M123" i="30"/>
  <c r="L120" i="30"/>
  <c r="L121" i="30"/>
  <c r="L122" i="30"/>
  <c r="L123" i="30"/>
  <c r="K120" i="30"/>
  <c r="K121" i="30"/>
  <c r="K122" i="30"/>
  <c r="K123" i="30"/>
  <c r="J120" i="30"/>
  <c r="J121" i="30"/>
  <c r="J122" i="30"/>
  <c r="J123" i="30"/>
  <c r="I120" i="30"/>
  <c r="I121" i="30"/>
  <c r="I122" i="30"/>
  <c r="I123" i="30"/>
  <c r="H120" i="30"/>
  <c r="H121" i="30"/>
  <c r="H122" i="30"/>
  <c r="H123" i="30"/>
  <c r="S115" i="30"/>
  <c r="S116" i="30"/>
  <c r="S117" i="30"/>
  <c r="S118" i="30"/>
  <c r="R115" i="30"/>
  <c r="R116" i="30"/>
  <c r="R117" i="30"/>
  <c r="R118" i="30"/>
  <c r="Q115" i="30"/>
  <c r="Q116" i="30"/>
  <c r="Q117" i="30"/>
  <c r="Q118" i="30"/>
  <c r="P115" i="30"/>
  <c r="P116" i="30"/>
  <c r="P117" i="30"/>
  <c r="P118" i="30"/>
  <c r="O115" i="30"/>
  <c r="O116" i="30"/>
  <c r="O117" i="30"/>
  <c r="O118" i="30"/>
  <c r="N115" i="30"/>
  <c r="N116" i="30"/>
  <c r="N117" i="30"/>
  <c r="N118" i="30"/>
  <c r="M115" i="30"/>
  <c r="M116" i="30"/>
  <c r="M117" i="30"/>
  <c r="M118" i="30"/>
  <c r="L115" i="30"/>
  <c r="L116" i="30"/>
  <c r="L117" i="30"/>
  <c r="L118" i="30"/>
  <c r="K115" i="30"/>
  <c r="K116" i="30"/>
  <c r="K117" i="30"/>
  <c r="K118" i="30"/>
  <c r="J115" i="30"/>
  <c r="J116" i="30"/>
  <c r="J117" i="30"/>
  <c r="J118" i="30"/>
  <c r="I115" i="30"/>
  <c r="I116" i="30"/>
  <c r="I117" i="30"/>
  <c r="I118" i="30"/>
  <c r="H115" i="30"/>
  <c r="H116" i="30"/>
  <c r="H117" i="30"/>
  <c r="H118" i="30"/>
  <c r="S110" i="30"/>
  <c r="S111" i="30"/>
  <c r="S112" i="30"/>
  <c r="S113" i="30"/>
  <c r="R110" i="30"/>
  <c r="R111" i="30"/>
  <c r="R112" i="30"/>
  <c r="R113" i="30"/>
  <c r="Q110" i="30"/>
  <c r="Q111" i="30"/>
  <c r="Q112" i="30"/>
  <c r="Q113" i="30"/>
  <c r="P110" i="30"/>
  <c r="P111" i="30"/>
  <c r="P112" i="30"/>
  <c r="P113" i="30"/>
  <c r="O110" i="30"/>
  <c r="O111" i="30"/>
  <c r="O112" i="30"/>
  <c r="O113" i="30"/>
  <c r="N110" i="30"/>
  <c r="N111" i="30"/>
  <c r="N112" i="30"/>
  <c r="N113" i="30"/>
  <c r="M110" i="30"/>
  <c r="M111" i="30"/>
  <c r="M112" i="30"/>
  <c r="M113" i="30"/>
  <c r="L110" i="30"/>
  <c r="L111" i="30"/>
  <c r="L112" i="30"/>
  <c r="L113" i="30"/>
  <c r="K110" i="30"/>
  <c r="K111" i="30"/>
  <c r="K112" i="30"/>
  <c r="K113" i="30"/>
  <c r="J110" i="30"/>
  <c r="J111" i="30"/>
  <c r="J112" i="30"/>
  <c r="J113" i="30"/>
  <c r="I110" i="30"/>
  <c r="I111" i="30"/>
  <c r="I112" i="30"/>
  <c r="I113" i="30"/>
  <c r="H110" i="30"/>
  <c r="H111" i="30"/>
  <c r="H112" i="30"/>
  <c r="H113" i="30"/>
  <c r="S104" i="30"/>
  <c r="S105" i="30"/>
  <c r="S106" i="30"/>
  <c r="R104" i="30"/>
  <c r="R105" i="30"/>
  <c r="R106" i="30"/>
  <c r="Q104" i="30"/>
  <c r="Q105" i="30"/>
  <c r="Q106" i="30"/>
  <c r="P104" i="30"/>
  <c r="P105" i="30"/>
  <c r="P106" i="30"/>
  <c r="O104" i="30"/>
  <c r="O105" i="30"/>
  <c r="O106" i="30"/>
  <c r="N104" i="30"/>
  <c r="N105" i="30"/>
  <c r="N106" i="30"/>
  <c r="M104" i="30"/>
  <c r="M105" i="30"/>
  <c r="M106" i="30"/>
  <c r="L104" i="30"/>
  <c r="L105" i="30"/>
  <c r="L106" i="30"/>
  <c r="K48" i="30"/>
  <c r="K104" i="30"/>
  <c r="K47" i="30"/>
  <c r="K105" i="30"/>
  <c r="K106" i="30"/>
  <c r="J48" i="30"/>
  <c r="J104" i="30"/>
  <c r="J47" i="30"/>
  <c r="J105" i="30"/>
  <c r="J106" i="30"/>
  <c r="I48" i="30"/>
  <c r="I104" i="30"/>
  <c r="I47" i="30"/>
  <c r="I105" i="30"/>
  <c r="I106" i="30"/>
  <c r="H48" i="30"/>
  <c r="H104" i="30"/>
  <c r="H47" i="30"/>
  <c r="H105" i="30"/>
  <c r="H106" i="30"/>
  <c r="S100" i="30"/>
  <c r="S101" i="30"/>
  <c r="S102" i="30"/>
  <c r="R100" i="30"/>
  <c r="R101" i="30"/>
  <c r="R102" i="30"/>
  <c r="Q100" i="30"/>
  <c r="Q101" i="30"/>
  <c r="Q102" i="30"/>
  <c r="P100" i="30"/>
  <c r="P101" i="30"/>
  <c r="P102" i="30"/>
  <c r="O100" i="30"/>
  <c r="O101" i="30"/>
  <c r="O102" i="30"/>
  <c r="N100" i="30"/>
  <c r="N101" i="30"/>
  <c r="N102" i="30"/>
  <c r="M100" i="30"/>
  <c r="M101" i="30"/>
  <c r="M102" i="30"/>
  <c r="L100" i="30"/>
  <c r="L101" i="30"/>
  <c r="L102" i="30"/>
  <c r="K49" i="30"/>
  <c r="K100" i="30"/>
  <c r="K101" i="30"/>
  <c r="K102" i="30"/>
  <c r="J49" i="30"/>
  <c r="J100" i="30"/>
  <c r="J101" i="30"/>
  <c r="J102" i="30"/>
  <c r="I49" i="30"/>
  <c r="I100" i="30"/>
  <c r="I101" i="30"/>
  <c r="I102" i="30"/>
  <c r="H49" i="30"/>
  <c r="H100" i="30"/>
  <c r="H101" i="30"/>
  <c r="H102" i="30"/>
  <c r="S96" i="30"/>
  <c r="S97" i="30"/>
  <c r="S98" i="30"/>
  <c r="R96" i="30"/>
  <c r="R97" i="30"/>
  <c r="R98" i="30"/>
  <c r="Q96" i="30"/>
  <c r="Q97" i="30"/>
  <c r="Q98" i="30"/>
  <c r="P96" i="30"/>
  <c r="P97" i="30"/>
  <c r="P98" i="30"/>
  <c r="O96" i="30"/>
  <c r="O97" i="30"/>
  <c r="O98" i="30"/>
  <c r="N96" i="30"/>
  <c r="N97" i="30"/>
  <c r="N98" i="30"/>
  <c r="M96" i="30"/>
  <c r="M97" i="30"/>
  <c r="M98" i="30"/>
  <c r="L96" i="30"/>
  <c r="L97" i="30"/>
  <c r="L98" i="30"/>
  <c r="K96" i="30"/>
  <c r="K97" i="30"/>
  <c r="K98" i="30"/>
  <c r="J96" i="30"/>
  <c r="J97" i="30"/>
  <c r="J98" i="30"/>
  <c r="I96" i="30"/>
  <c r="I97" i="30"/>
  <c r="I98" i="30"/>
  <c r="H96" i="30"/>
  <c r="H97" i="30"/>
  <c r="H98" i="30"/>
  <c r="S120" i="29"/>
  <c r="S121" i="29"/>
  <c r="S122" i="29"/>
  <c r="S123" i="29"/>
  <c r="R120" i="29"/>
  <c r="R121" i="29"/>
  <c r="R122" i="29"/>
  <c r="R123" i="29"/>
  <c r="Q120" i="29"/>
  <c r="Q121" i="29"/>
  <c r="Q122" i="29"/>
  <c r="Q123" i="29"/>
  <c r="P120" i="29"/>
  <c r="P121" i="29"/>
  <c r="P122" i="29"/>
  <c r="P123" i="29"/>
  <c r="O120" i="29"/>
  <c r="O121" i="29"/>
  <c r="O122" i="29"/>
  <c r="O123" i="29"/>
  <c r="N120" i="29"/>
  <c r="N121" i="29"/>
  <c r="N122" i="29"/>
  <c r="N123" i="29"/>
  <c r="M120" i="29"/>
  <c r="M121" i="29"/>
  <c r="M122" i="29"/>
  <c r="M123" i="29"/>
  <c r="L120" i="29"/>
  <c r="L121" i="29"/>
  <c r="L122" i="29"/>
  <c r="L123" i="29"/>
  <c r="K120" i="29"/>
  <c r="K121" i="29"/>
  <c r="K122" i="29"/>
  <c r="K123" i="29"/>
  <c r="J120" i="29"/>
  <c r="J121" i="29"/>
  <c r="J122" i="29"/>
  <c r="J123" i="29"/>
  <c r="I120" i="29"/>
  <c r="I121" i="29"/>
  <c r="I122" i="29"/>
  <c r="I123" i="29"/>
  <c r="H120" i="29"/>
  <c r="H121" i="29"/>
  <c r="H122" i="29"/>
  <c r="H123" i="29"/>
  <c r="S115" i="29"/>
  <c r="S116" i="29"/>
  <c r="S117" i="29"/>
  <c r="S118" i="29"/>
  <c r="R115" i="29"/>
  <c r="R116" i="29"/>
  <c r="R117" i="29"/>
  <c r="R118" i="29"/>
  <c r="Q115" i="29"/>
  <c r="Q116" i="29"/>
  <c r="Q117" i="29"/>
  <c r="Q118" i="29"/>
  <c r="P115" i="29"/>
  <c r="P116" i="29"/>
  <c r="P117" i="29"/>
  <c r="P118" i="29"/>
  <c r="O115" i="29"/>
  <c r="O116" i="29"/>
  <c r="O117" i="29"/>
  <c r="O118" i="29"/>
  <c r="N115" i="29"/>
  <c r="N116" i="29"/>
  <c r="N117" i="29"/>
  <c r="N118" i="29"/>
  <c r="M115" i="29"/>
  <c r="M116" i="29"/>
  <c r="M117" i="29"/>
  <c r="M118" i="29"/>
  <c r="L115" i="29"/>
  <c r="L116" i="29"/>
  <c r="L117" i="29"/>
  <c r="L118" i="29"/>
  <c r="K115" i="29"/>
  <c r="K116" i="29"/>
  <c r="K117" i="29"/>
  <c r="K118" i="29"/>
  <c r="J115" i="29"/>
  <c r="J116" i="29"/>
  <c r="J117" i="29"/>
  <c r="J118" i="29"/>
  <c r="I115" i="29"/>
  <c r="I116" i="29"/>
  <c r="I117" i="29"/>
  <c r="I118" i="29"/>
  <c r="H115" i="29"/>
  <c r="H116" i="29"/>
  <c r="H117" i="29"/>
  <c r="H118" i="29"/>
  <c r="S110" i="29"/>
  <c r="S111" i="29"/>
  <c r="S112" i="29"/>
  <c r="S113" i="29"/>
  <c r="R110" i="29"/>
  <c r="R111" i="29"/>
  <c r="R112" i="29"/>
  <c r="R113" i="29"/>
  <c r="Q110" i="29"/>
  <c r="Q111" i="29"/>
  <c r="Q112" i="29"/>
  <c r="Q113" i="29"/>
  <c r="P110" i="29"/>
  <c r="P111" i="29"/>
  <c r="P112" i="29"/>
  <c r="P113" i="29"/>
  <c r="O110" i="29"/>
  <c r="O111" i="29"/>
  <c r="O112" i="29"/>
  <c r="O113" i="29"/>
  <c r="N110" i="29"/>
  <c r="N111" i="29"/>
  <c r="N112" i="29"/>
  <c r="N113" i="29"/>
  <c r="M110" i="29"/>
  <c r="M111" i="29"/>
  <c r="M112" i="29"/>
  <c r="M113" i="29"/>
  <c r="L110" i="29"/>
  <c r="L111" i="29"/>
  <c r="L112" i="29"/>
  <c r="L113" i="29"/>
  <c r="K110" i="29"/>
  <c r="K111" i="29"/>
  <c r="K112" i="29"/>
  <c r="K113" i="29"/>
  <c r="J110" i="29"/>
  <c r="J111" i="29"/>
  <c r="J112" i="29"/>
  <c r="J113" i="29"/>
  <c r="I110" i="29"/>
  <c r="I111" i="29"/>
  <c r="I112" i="29"/>
  <c r="I113" i="29"/>
  <c r="H110" i="29"/>
  <c r="H111" i="29"/>
  <c r="H112" i="29"/>
  <c r="H113" i="29"/>
  <c r="S104" i="29"/>
  <c r="S105" i="29"/>
  <c r="S106" i="29"/>
  <c r="R104" i="29"/>
  <c r="R105" i="29"/>
  <c r="R106" i="29"/>
  <c r="Q104" i="29"/>
  <c r="Q105" i="29"/>
  <c r="Q106" i="29"/>
  <c r="P104" i="29"/>
  <c r="P105" i="29"/>
  <c r="P106" i="29"/>
  <c r="O104" i="29"/>
  <c r="O105" i="29"/>
  <c r="O106" i="29"/>
  <c r="N104" i="29"/>
  <c r="N105" i="29"/>
  <c r="N106" i="29"/>
  <c r="M104" i="29"/>
  <c r="M105" i="29"/>
  <c r="M106" i="29"/>
  <c r="L104" i="29"/>
  <c r="L105" i="29"/>
  <c r="L106" i="29"/>
  <c r="K48" i="29"/>
  <c r="K104" i="29"/>
  <c r="K47" i="29"/>
  <c r="K105" i="29"/>
  <c r="K106" i="29"/>
  <c r="J48" i="29"/>
  <c r="J104" i="29"/>
  <c r="J47" i="29"/>
  <c r="J105" i="29"/>
  <c r="J106" i="29"/>
  <c r="I48" i="29"/>
  <c r="I104" i="29"/>
  <c r="I47" i="29"/>
  <c r="I105" i="29"/>
  <c r="I106" i="29"/>
  <c r="H48" i="29"/>
  <c r="H104" i="29"/>
  <c r="H47" i="29"/>
  <c r="H105" i="29"/>
  <c r="H106" i="29"/>
  <c r="S100" i="29"/>
  <c r="S101" i="29"/>
  <c r="S102" i="29"/>
  <c r="R100" i="29"/>
  <c r="R101" i="29"/>
  <c r="R102" i="29"/>
  <c r="Q100" i="29"/>
  <c r="Q101" i="29"/>
  <c r="Q102" i="29"/>
  <c r="P100" i="29"/>
  <c r="P101" i="29"/>
  <c r="P102" i="29"/>
  <c r="O100" i="29"/>
  <c r="O101" i="29"/>
  <c r="O102" i="29"/>
  <c r="N100" i="29"/>
  <c r="N101" i="29"/>
  <c r="N102" i="29"/>
  <c r="M100" i="29"/>
  <c r="M101" i="29"/>
  <c r="M102" i="29"/>
  <c r="L100" i="29"/>
  <c r="L101" i="29"/>
  <c r="L102" i="29"/>
  <c r="K49" i="29"/>
  <c r="K100" i="29"/>
  <c r="K101" i="29"/>
  <c r="K102" i="29"/>
  <c r="J49" i="29"/>
  <c r="J100" i="29"/>
  <c r="J101" i="29"/>
  <c r="J102" i="29"/>
  <c r="I49" i="29"/>
  <c r="I100" i="29"/>
  <c r="I101" i="29"/>
  <c r="I102" i="29"/>
  <c r="H49" i="29"/>
  <c r="H100" i="29"/>
  <c r="H101" i="29"/>
  <c r="H102" i="29"/>
  <c r="S96" i="29"/>
  <c r="S97" i="29"/>
  <c r="S98" i="29"/>
  <c r="R96" i="29"/>
  <c r="R97" i="29"/>
  <c r="R98" i="29"/>
  <c r="Q96" i="29"/>
  <c r="Q97" i="29"/>
  <c r="Q98" i="29"/>
  <c r="P96" i="29"/>
  <c r="P97" i="29"/>
  <c r="P98" i="29"/>
  <c r="O96" i="29"/>
  <c r="O97" i="29"/>
  <c r="O98" i="29"/>
  <c r="N96" i="29"/>
  <c r="N97" i="29"/>
  <c r="N98" i="29"/>
  <c r="M96" i="29"/>
  <c r="M97" i="29"/>
  <c r="M98" i="29"/>
  <c r="L96" i="29"/>
  <c r="L97" i="29"/>
  <c r="L98" i="29"/>
  <c r="K96" i="29"/>
  <c r="K97" i="29"/>
  <c r="K98" i="29"/>
  <c r="J96" i="29"/>
  <c r="J97" i="29"/>
  <c r="J98" i="29"/>
  <c r="I96" i="29"/>
  <c r="I97" i="29"/>
  <c r="I98" i="29"/>
  <c r="H96" i="29"/>
  <c r="H97" i="29"/>
  <c r="H98" i="29"/>
  <c r="S119" i="28"/>
  <c r="S120" i="28"/>
  <c r="S121" i="28"/>
  <c r="S122" i="28"/>
  <c r="R119" i="28"/>
  <c r="R120" i="28"/>
  <c r="R121" i="28"/>
  <c r="R122" i="28"/>
  <c r="Q119" i="28"/>
  <c r="Q120" i="28"/>
  <c r="Q121" i="28"/>
  <c r="Q122" i="28"/>
  <c r="P119" i="28"/>
  <c r="P120" i="28"/>
  <c r="P121" i="28"/>
  <c r="P122" i="28"/>
  <c r="O119" i="28"/>
  <c r="O120" i="28"/>
  <c r="O121" i="28"/>
  <c r="O122" i="28"/>
  <c r="N119" i="28"/>
  <c r="N120" i="28"/>
  <c r="N121" i="28"/>
  <c r="N122" i="28"/>
  <c r="M119" i="28"/>
  <c r="M120" i="28"/>
  <c r="M121" i="28"/>
  <c r="M122" i="28"/>
  <c r="L119" i="28"/>
  <c r="L120" i="28"/>
  <c r="L121" i="28"/>
  <c r="L122" i="28"/>
  <c r="K119" i="28"/>
  <c r="K120" i="28"/>
  <c r="K121" i="28"/>
  <c r="K122" i="28"/>
  <c r="J119" i="28"/>
  <c r="J120" i="28"/>
  <c r="J121" i="28"/>
  <c r="J122" i="28"/>
  <c r="I119" i="28"/>
  <c r="I120" i="28"/>
  <c r="I121" i="28"/>
  <c r="I122" i="28"/>
  <c r="H119" i="28"/>
  <c r="H120" i="28"/>
  <c r="H121" i="28"/>
  <c r="H122" i="28"/>
  <c r="S114" i="28"/>
  <c r="S115" i="28"/>
  <c r="S116" i="28"/>
  <c r="S117" i="28"/>
  <c r="R114" i="28"/>
  <c r="R115" i="28"/>
  <c r="R116" i="28"/>
  <c r="R117" i="28"/>
  <c r="Q114" i="28"/>
  <c r="Q115" i="28"/>
  <c r="Q116" i="28"/>
  <c r="Q117" i="28"/>
  <c r="P114" i="28"/>
  <c r="P115" i="28"/>
  <c r="P116" i="28"/>
  <c r="P117" i="28"/>
  <c r="O114" i="28"/>
  <c r="O115" i="28"/>
  <c r="O116" i="28"/>
  <c r="O117" i="28"/>
  <c r="N114" i="28"/>
  <c r="N115" i="28"/>
  <c r="N116" i="28"/>
  <c r="N117" i="28"/>
  <c r="M114" i="28"/>
  <c r="M115" i="28"/>
  <c r="M116" i="28"/>
  <c r="M117" i="28"/>
  <c r="L114" i="28"/>
  <c r="L115" i="28"/>
  <c r="L116" i="28"/>
  <c r="L117" i="28"/>
  <c r="K114" i="28"/>
  <c r="K115" i="28"/>
  <c r="K116" i="28"/>
  <c r="K117" i="28"/>
  <c r="J114" i="28"/>
  <c r="J115" i="28"/>
  <c r="J116" i="28"/>
  <c r="J117" i="28"/>
  <c r="I114" i="28"/>
  <c r="I115" i="28"/>
  <c r="I116" i="28"/>
  <c r="I117" i="28"/>
  <c r="H114" i="28"/>
  <c r="H115" i="28"/>
  <c r="H116" i="28"/>
  <c r="H117" i="28"/>
  <c r="S109" i="28"/>
  <c r="S110" i="28"/>
  <c r="S111" i="28"/>
  <c r="S112" i="28"/>
  <c r="R109" i="28"/>
  <c r="R110" i="28"/>
  <c r="R111" i="28"/>
  <c r="R112" i="28"/>
  <c r="Q109" i="28"/>
  <c r="Q110" i="28"/>
  <c r="Q111" i="28"/>
  <c r="Q112" i="28"/>
  <c r="P109" i="28"/>
  <c r="P110" i="28"/>
  <c r="P111" i="28"/>
  <c r="P112" i="28"/>
  <c r="O109" i="28"/>
  <c r="O110" i="28"/>
  <c r="O111" i="28"/>
  <c r="O112" i="28"/>
  <c r="N109" i="28"/>
  <c r="N110" i="28"/>
  <c r="N111" i="28"/>
  <c r="N112" i="28"/>
  <c r="M109" i="28"/>
  <c r="M110" i="28"/>
  <c r="M111" i="28"/>
  <c r="M112" i="28"/>
  <c r="L109" i="28"/>
  <c r="L110" i="28"/>
  <c r="L111" i="28"/>
  <c r="L112" i="28"/>
  <c r="K109" i="28"/>
  <c r="K110" i="28"/>
  <c r="K111" i="28"/>
  <c r="K112" i="28"/>
  <c r="J109" i="28"/>
  <c r="J110" i="28"/>
  <c r="J111" i="28"/>
  <c r="J112" i="28"/>
  <c r="I109" i="28"/>
  <c r="I110" i="28"/>
  <c r="I111" i="28"/>
  <c r="I112" i="28"/>
  <c r="H109" i="28"/>
  <c r="H110" i="28"/>
  <c r="H111" i="28"/>
  <c r="H112" i="28"/>
  <c r="S103" i="28"/>
  <c r="S104" i="28"/>
  <c r="S105" i="28"/>
  <c r="R103" i="28"/>
  <c r="R104" i="28"/>
  <c r="R105" i="28"/>
  <c r="Q103" i="28"/>
  <c r="Q104" i="28"/>
  <c r="Q105" i="28"/>
  <c r="P103" i="28"/>
  <c r="P104" i="28"/>
  <c r="P105" i="28"/>
  <c r="O103" i="28"/>
  <c r="O104" i="28"/>
  <c r="O105" i="28"/>
  <c r="N103" i="28"/>
  <c r="N104" i="28"/>
  <c r="N105" i="28"/>
  <c r="M103" i="28"/>
  <c r="M104" i="28"/>
  <c r="M105" i="28"/>
  <c r="L103" i="28"/>
  <c r="L104" i="28"/>
  <c r="L105" i="28"/>
  <c r="K47" i="28"/>
  <c r="K103" i="28"/>
  <c r="K46" i="28"/>
  <c r="K104" i="28"/>
  <c r="K105" i="28"/>
  <c r="J47" i="28"/>
  <c r="J103" i="28"/>
  <c r="J46" i="28"/>
  <c r="J104" i="28"/>
  <c r="J105" i="28"/>
  <c r="I47" i="28"/>
  <c r="I103" i="28"/>
  <c r="I46" i="28"/>
  <c r="I104" i="28"/>
  <c r="I105" i="28"/>
  <c r="H47" i="28"/>
  <c r="H103" i="28"/>
  <c r="H46" i="28"/>
  <c r="H104" i="28"/>
  <c r="H105" i="28"/>
  <c r="S99" i="28"/>
  <c r="S100" i="28"/>
  <c r="S101" i="28"/>
  <c r="R99" i="28"/>
  <c r="R100" i="28"/>
  <c r="R101" i="28"/>
  <c r="Q99" i="28"/>
  <c r="Q100" i="28"/>
  <c r="Q101" i="28"/>
  <c r="P99" i="28"/>
  <c r="P100" i="28"/>
  <c r="P101" i="28"/>
  <c r="O99" i="28"/>
  <c r="O100" i="28"/>
  <c r="O101" i="28"/>
  <c r="N99" i="28"/>
  <c r="N100" i="28"/>
  <c r="N101" i="28"/>
  <c r="M99" i="28"/>
  <c r="M100" i="28"/>
  <c r="M101" i="28"/>
  <c r="L99" i="28"/>
  <c r="L100" i="28"/>
  <c r="L101" i="28"/>
  <c r="K48" i="28"/>
  <c r="K99" i="28"/>
  <c r="K100" i="28"/>
  <c r="K101" i="28"/>
  <c r="J48" i="28"/>
  <c r="J99" i="28"/>
  <c r="J100" i="28"/>
  <c r="J101" i="28"/>
  <c r="I48" i="28"/>
  <c r="I99" i="28"/>
  <c r="I100" i="28"/>
  <c r="I101" i="28"/>
  <c r="H48" i="28"/>
  <c r="H99" i="28"/>
  <c r="H100" i="28"/>
  <c r="H101" i="28"/>
  <c r="S95" i="28"/>
  <c r="S96" i="28"/>
  <c r="S97" i="28"/>
  <c r="R95" i="28"/>
  <c r="R96" i="28"/>
  <c r="R97" i="28"/>
  <c r="Q95" i="28"/>
  <c r="Q96" i="28"/>
  <c r="Q97" i="28"/>
  <c r="P95" i="28"/>
  <c r="P96" i="28"/>
  <c r="P97" i="28"/>
  <c r="O95" i="28"/>
  <c r="O96" i="28"/>
  <c r="O97" i="28"/>
  <c r="N95" i="28"/>
  <c r="N96" i="28"/>
  <c r="N97" i="28"/>
  <c r="M95" i="28"/>
  <c r="M96" i="28"/>
  <c r="M97" i="28"/>
  <c r="L95" i="28"/>
  <c r="L96" i="28"/>
  <c r="L97" i="28"/>
  <c r="K95" i="28"/>
  <c r="K96" i="28"/>
  <c r="K97" i="28"/>
  <c r="J95" i="28"/>
  <c r="J96" i="28"/>
  <c r="J97" i="28"/>
  <c r="I95" i="28"/>
  <c r="I96" i="28"/>
  <c r="I97" i="28"/>
  <c r="H95" i="28"/>
  <c r="H96" i="28"/>
  <c r="H97" i="28"/>
  <c r="S120" i="27"/>
  <c r="S121" i="27"/>
  <c r="S122" i="27"/>
  <c r="S123" i="27"/>
  <c r="R120" i="27"/>
  <c r="R121" i="27"/>
  <c r="R122" i="27"/>
  <c r="R123" i="27"/>
  <c r="Q120" i="27"/>
  <c r="Q121" i="27"/>
  <c r="Q122" i="27"/>
  <c r="Q123" i="27"/>
  <c r="P120" i="27"/>
  <c r="P121" i="27"/>
  <c r="P122" i="27"/>
  <c r="P123" i="27"/>
  <c r="O120" i="27"/>
  <c r="O121" i="27"/>
  <c r="O122" i="27"/>
  <c r="O123" i="27"/>
  <c r="N120" i="27"/>
  <c r="N121" i="27"/>
  <c r="N122" i="27"/>
  <c r="N123" i="27"/>
  <c r="M120" i="27"/>
  <c r="M121" i="27"/>
  <c r="M122" i="27"/>
  <c r="M123" i="27"/>
  <c r="L120" i="27"/>
  <c r="L121" i="27"/>
  <c r="L122" i="27"/>
  <c r="L123" i="27"/>
  <c r="K120" i="27"/>
  <c r="K121" i="27"/>
  <c r="K122" i="27"/>
  <c r="K123" i="27"/>
  <c r="J120" i="27"/>
  <c r="J121" i="27"/>
  <c r="J122" i="27"/>
  <c r="J123" i="27"/>
  <c r="I120" i="27"/>
  <c r="I121" i="27"/>
  <c r="I122" i="27"/>
  <c r="I123" i="27"/>
  <c r="H120" i="27"/>
  <c r="H121" i="27"/>
  <c r="H122" i="27"/>
  <c r="H123" i="27"/>
  <c r="S115" i="27"/>
  <c r="S116" i="27"/>
  <c r="S117" i="27"/>
  <c r="S118" i="27"/>
  <c r="R115" i="27"/>
  <c r="R116" i="27"/>
  <c r="R117" i="27"/>
  <c r="R118" i="27"/>
  <c r="Q115" i="27"/>
  <c r="Q116" i="27"/>
  <c r="Q117" i="27"/>
  <c r="Q118" i="27"/>
  <c r="P115" i="27"/>
  <c r="P116" i="27"/>
  <c r="P117" i="27"/>
  <c r="P118" i="27"/>
  <c r="O115" i="27"/>
  <c r="O116" i="27"/>
  <c r="O117" i="27"/>
  <c r="O118" i="27"/>
  <c r="N115" i="27"/>
  <c r="N116" i="27"/>
  <c r="N117" i="27"/>
  <c r="N118" i="27"/>
  <c r="M115" i="27"/>
  <c r="M116" i="27"/>
  <c r="M117" i="27"/>
  <c r="M118" i="27"/>
  <c r="L115" i="27"/>
  <c r="L116" i="27"/>
  <c r="L117" i="27"/>
  <c r="L118" i="27"/>
  <c r="K115" i="27"/>
  <c r="K116" i="27"/>
  <c r="K117" i="27"/>
  <c r="K118" i="27"/>
  <c r="J115" i="27"/>
  <c r="J116" i="27"/>
  <c r="J117" i="27"/>
  <c r="J118" i="27"/>
  <c r="I115" i="27"/>
  <c r="I116" i="27"/>
  <c r="I117" i="27"/>
  <c r="I118" i="27"/>
  <c r="H115" i="27"/>
  <c r="H116" i="27"/>
  <c r="H117" i="27"/>
  <c r="H118" i="27"/>
  <c r="S110" i="27"/>
  <c r="S111" i="27"/>
  <c r="S112" i="27"/>
  <c r="S113" i="27"/>
  <c r="R110" i="27"/>
  <c r="R111" i="27"/>
  <c r="R112" i="27"/>
  <c r="R113" i="27"/>
  <c r="Q110" i="27"/>
  <c r="Q111" i="27"/>
  <c r="Q112" i="27"/>
  <c r="Q113" i="27"/>
  <c r="P110" i="27"/>
  <c r="P111" i="27"/>
  <c r="P112" i="27"/>
  <c r="P113" i="27"/>
  <c r="O110" i="27"/>
  <c r="O111" i="27"/>
  <c r="O112" i="27"/>
  <c r="O113" i="27"/>
  <c r="N110" i="27"/>
  <c r="N111" i="27"/>
  <c r="N112" i="27"/>
  <c r="N113" i="27"/>
  <c r="M110" i="27"/>
  <c r="M111" i="27"/>
  <c r="M112" i="27"/>
  <c r="M113" i="27"/>
  <c r="L110" i="27"/>
  <c r="L111" i="27"/>
  <c r="L112" i="27"/>
  <c r="L113" i="27"/>
  <c r="K110" i="27"/>
  <c r="K111" i="27"/>
  <c r="K112" i="27"/>
  <c r="K113" i="27"/>
  <c r="J110" i="27"/>
  <c r="J111" i="27"/>
  <c r="J112" i="27"/>
  <c r="J113" i="27"/>
  <c r="I110" i="27"/>
  <c r="I111" i="27"/>
  <c r="I112" i="27"/>
  <c r="I113" i="27"/>
  <c r="H110" i="27"/>
  <c r="H111" i="27"/>
  <c r="H112" i="27"/>
  <c r="H113" i="27"/>
  <c r="S104" i="27"/>
  <c r="S105" i="27"/>
  <c r="S106" i="27"/>
  <c r="R104" i="27"/>
  <c r="R105" i="27"/>
  <c r="R106" i="27"/>
  <c r="Q104" i="27"/>
  <c r="Q105" i="27"/>
  <c r="Q106" i="27"/>
  <c r="P104" i="27"/>
  <c r="P105" i="27"/>
  <c r="P106" i="27"/>
  <c r="O104" i="27"/>
  <c r="O105" i="27"/>
  <c r="O106" i="27"/>
  <c r="N104" i="27"/>
  <c r="N105" i="27"/>
  <c r="N106" i="27"/>
  <c r="M104" i="27"/>
  <c r="M105" i="27"/>
  <c r="M106" i="27"/>
  <c r="L104" i="27"/>
  <c r="L105" i="27"/>
  <c r="L106" i="27"/>
  <c r="K48" i="27"/>
  <c r="K104" i="27"/>
  <c r="K47" i="27"/>
  <c r="K105" i="27"/>
  <c r="K106" i="27"/>
  <c r="J48" i="27"/>
  <c r="J104" i="27"/>
  <c r="J47" i="27"/>
  <c r="J105" i="27"/>
  <c r="J106" i="27"/>
  <c r="I48" i="27"/>
  <c r="I104" i="27"/>
  <c r="I47" i="27"/>
  <c r="I105" i="27"/>
  <c r="I106" i="27"/>
  <c r="H48" i="27"/>
  <c r="H104" i="27"/>
  <c r="H47" i="27"/>
  <c r="H105" i="27"/>
  <c r="H106" i="27"/>
  <c r="S100" i="27"/>
  <c r="S101" i="27"/>
  <c r="S102" i="27"/>
  <c r="R100" i="27"/>
  <c r="R101" i="27"/>
  <c r="R102" i="27"/>
  <c r="Q100" i="27"/>
  <c r="Q101" i="27"/>
  <c r="Q102" i="27"/>
  <c r="P100" i="27"/>
  <c r="P101" i="27"/>
  <c r="P102" i="27"/>
  <c r="O100" i="27"/>
  <c r="O101" i="27"/>
  <c r="O102" i="27"/>
  <c r="N100" i="27"/>
  <c r="N101" i="27"/>
  <c r="N102" i="27"/>
  <c r="M100" i="27"/>
  <c r="M101" i="27"/>
  <c r="M102" i="27"/>
  <c r="L100" i="27"/>
  <c r="L101" i="27"/>
  <c r="L102" i="27"/>
  <c r="K49" i="27"/>
  <c r="K100" i="27"/>
  <c r="K101" i="27"/>
  <c r="K102" i="27"/>
  <c r="J49" i="27"/>
  <c r="J100" i="27"/>
  <c r="J101" i="27"/>
  <c r="J102" i="27"/>
  <c r="I49" i="27"/>
  <c r="I100" i="27"/>
  <c r="I101" i="27"/>
  <c r="I102" i="27"/>
  <c r="H49" i="27"/>
  <c r="H100" i="27"/>
  <c r="H101" i="27"/>
  <c r="H102" i="27"/>
  <c r="S96" i="27"/>
  <c r="S97" i="27"/>
  <c r="S98" i="27"/>
  <c r="R96" i="27"/>
  <c r="R97" i="27"/>
  <c r="R98" i="27"/>
  <c r="Q96" i="27"/>
  <c r="Q97" i="27"/>
  <c r="Q98" i="27"/>
  <c r="P96" i="27"/>
  <c r="P97" i="27"/>
  <c r="P98" i="27"/>
  <c r="O96" i="27"/>
  <c r="O97" i="27"/>
  <c r="O98" i="27"/>
  <c r="N96" i="27"/>
  <c r="N97" i="27"/>
  <c r="N98" i="27"/>
  <c r="M96" i="27"/>
  <c r="M97" i="27"/>
  <c r="M98" i="27"/>
  <c r="L96" i="27"/>
  <c r="L97" i="27"/>
  <c r="L98" i="27"/>
  <c r="K96" i="27"/>
  <c r="K97" i="27"/>
  <c r="K98" i="27"/>
  <c r="J96" i="27"/>
  <c r="J97" i="27"/>
  <c r="J98" i="27"/>
  <c r="I96" i="27"/>
  <c r="I97" i="27"/>
  <c r="I98" i="27"/>
  <c r="H96" i="27"/>
  <c r="H97" i="27"/>
  <c r="H98" i="27"/>
  <c r="S119" i="26"/>
  <c r="S120" i="26"/>
  <c r="S121" i="26"/>
  <c r="S122" i="26"/>
  <c r="R119" i="26"/>
  <c r="R120" i="26"/>
  <c r="R121" i="26"/>
  <c r="R122" i="26"/>
  <c r="Q119" i="26"/>
  <c r="Q120" i="26"/>
  <c r="Q121" i="26"/>
  <c r="Q122" i="26"/>
  <c r="P119" i="26"/>
  <c r="P120" i="26"/>
  <c r="P121" i="26"/>
  <c r="P122" i="26"/>
  <c r="O119" i="26"/>
  <c r="O120" i="26"/>
  <c r="O121" i="26"/>
  <c r="O122" i="26"/>
  <c r="N119" i="26"/>
  <c r="N120" i="26"/>
  <c r="N121" i="26"/>
  <c r="N122" i="26"/>
  <c r="M119" i="26"/>
  <c r="M120" i="26"/>
  <c r="M121" i="26"/>
  <c r="M122" i="26"/>
  <c r="L119" i="26"/>
  <c r="L120" i="26"/>
  <c r="L121" i="26"/>
  <c r="L122" i="26"/>
  <c r="K119" i="26"/>
  <c r="K120" i="26"/>
  <c r="K121" i="26"/>
  <c r="K122" i="26"/>
  <c r="J119" i="26"/>
  <c r="J120" i="26"/>
  <c r="J121" i="26"/>
  <c r="J122" i="26"/>
  <c r="I119" i="26"/>
  <c r="I120" i="26"/>
  <c r="I121" i="26"/>
  <c r="I122" i="26"/>
  <c r="H119" i="26"/>
  <c r="H120" i="26"/>
  <c r="H121" i="26"/>
  <c r="H122" i="26"/>
  <c r="S114" i="26"/>
  <c r="S115" i="26"/>
  <c r="S116" i="26"/>
  <c r="S117" i="26"/>
  <c r="R114" i="26"/>
  <c r="R115" i="26"/>
  <c r="R116" i="26"/>
  <c r="R117" i="26"/>
  <c r="Q114" i="26"/>
  <c r="Q115" i="26"/>
  <c r="Q116" i="26"/>
  <c r="Q117" i="26"/>
  <c r="P114" i="26"/>
  <c r="P115" i="26"/>
  <c r="P116" i="26"/>
  <c r="P117" i="26"/>
  <c r="O114" i="26"/>
  <c r="O115" i="26"/>
  <c r="O116" i="26"/>
  <c r="O117" i="26"/>
  <c r="N114" i="26"/>
  <c r="N115" i="26"/>
  <c r="N116" i="26"/>
  <c r="N117" i="26"/>
  <c r="M114" i="26"/>
  <c r="M115" i="26"/>
  <c r="M116" i="26"/>
  <c r="M117" i="26"/>
  <c r="L114" i="26"/>
  <c r="L115" i="26"/>
  <c r="L116" i="26"/>
  <c r="L117" i="26"/>
  <c r="K114" i="26"/>
  <c r="K115" i="26"/>
  <c r="K116" i="26"/>
  <c r="K117" i="26"/>
  <c r="J114" i="26"/>
  <c r="J115" i="26"/>
  <c r="J116" i="26"/>
  <c r="J117" i="26"/>
  <c r="I114" i="26"/>
  <c r="I115" i="26"/>
  <c r="I116" i="26"/>
  <c r="I117" i="26"/>
  <c r="H114" i="26"/>
  <c r="H115" i="26"/>
  <c r="H116" i="26"/>
  <c r="H117" i="26"/>
  <c r="S109" i="26"/>
  <c r="S110" i="26"/>
  <c r="S111" i="26"/>
  <c r="S112" i="26"/>
  <c r="R109" i="26"/>
  <c r="R110" i="26"/>
  <c r="R111" i="26"/>
  <c r="R112" i="26"/>
  <c r="Q109" i="26"/>
  <c r="Q110" i="26"/>
  <c r="Q111" i="26"/>
  <c r="Q112" i="26"/>
  <c r="P109" i="26"/>
  <c r="P110" i="26"/>
  <c r="P111" i="26"/>
  <c r="P112" i="26"/>
  <c r="O109" i="26"/>
  <c r="O110" i="26"/>
  <c r="O111" i="26"/>
  <c r="O112" i="26"/>
  <c r="N109" i="26"/>
  <c r="N110" i="26"/>
  <c r="N111" i="26"/>
  <c r="N112" i="26"/>
  <c r="M109" i="26"/>
  <c r="M110" i="26"/>
  <c r="M111" i="26"/>
  <c r="M112" i="26"/>
  <c r="L109" i="26"/>
  <c r="L110" i="26"/>
  <c r="L111" i="26"/>
  <c r="L112" i="26"/>
  <c r="K109" i="26"/>
  <c r="K110" i="26"/>
  <c r="K111" i="26"/>
  <c r="K112" i="26"/>
  <c r="J109" i="26"/>
  <c r="J110" i="26"/>
  <c r="J111" i="26"/>
  <c r="J112" i="26"/>
  <c r="I109" i="26"/>
  <c r="I110" i="26"/>
  <c r="I111" i="26"/>
  <c r="I112" i="26"/>
  <c r="H109" i="26"/>
  <c r="H110" i="26"/>
  <c r="H111" i="26"/>
  <c r="H112" i="26"/>
  <c r="S103" i="26"/>
  <c r="S104" i="26"/>
  <c r="S105" i="26"/>
  <c r="R103" i="26"/>
  <c r="R104" i="26"/>
  <c r="R105" i="26"/>
  <c r="Q103" i="26"/>
  <c r="Q104" i="26"/>
  <c r="Q105" i="26"/>
  <c r="P103" i="26"/>
  <c r="P104" i="26"/>
  <c r="P105" i="26"/>
  <c r="O103" i="26"/>
  <c r="O104" i="26"/>
  <c r="O105" i="26"/>
  <c r="N103" i="26"/>
  <c r="N104" i="26"/>
  <c r="N105" i="26"/>
  <c r="M103" i="26"/>
  <c r="M104" i="26"/>
  <c r="M105" i="26"/>
  <c r="L103" i="26"/>
  <c r="L104" i="26"/>
  <c r="L105" i="26"/>
  <c r="K47" i="26"/>
  <c r="K103" i="26"/>
  <c r="K46" i="26"/>
  <c r="K104" i="26"/>
  <c r="K105" i="26"/>
  <c r="J47" i="26"/>
  <c r="J103" i="26"/>
  <c r="J46" i="26"/>
  <c r="J104" i="26"/>
  <c r="J105" i="26"/>
  <c r="I47" i="26"/>
  <c r="I103" i="26"/>
  <c r="I46" i="26"/>
  <c r="I104" i="26"/>
  <c r="I105" i="26"/>
  <c r="H47" i="26"/>
  <c r="H103" i="26"/>
  <c r="H46" i="26"/>
  <c r="H104" i="26"/>
  <c r="H105" i="26"/>
  <c r="S99" i="26"/>
  <c r="S100" i="26"/>
  <c r="S101" i="26"/>
  <c r="R99" i="26"/>
  <c r="R100" i="26"/>
  <c r="R101" i="26"/>
  <c r="Q99" i="26"/>
  <c r="Q100" i="26"/>
  <c r="Q101" i="26"/>
  <c r="P99" i="26"/>
  <c r="P100" i="26"/>
  <c r="P101" i="26"/>
  <c r="O99" i="26"/>
  <c r="O100" i="26"/>
  <c r="O101" i="26"/>
  <c r="N99" i="26"/>
  <c r="N100" i="26"/>
  <c r="N101" i="26"/>
  <c r="M99" i="26"/>
  <c r="M100" i="26"/>
  <c r="M101" i="26"/>
  <c r="L99" i="26"/>
  <c r="L100" i="26"/>
  <c r="L101" i="26"/>
  <c r="K48" i="26"/>
  <c r="K99" i="26"/>
  <c r="K100" i="26"/>
  <c r="K101" i="26"/>
  <c r="J48" i="26"/>
  <c r="J99" i="26"/>
  <c r="J100" i="26"/>
  <c r="J101" i="26"/>
  <c r="I48" i="26"/>
  <c r="I99" i="26"/>
  <c r="I100" i="26"/>
  <c r="I101" i="26"/>
  <c r="H48" i="26"/>
  <c r="H99" i="26"/>
  <c r="H100" i="26"/>
  <c r="H101" i="26"/>
  <c r="S95" i="26"/>
  <c r="S96" i="26"/>
  <c r="S97" i="26"/>
  <c r="R95" i="26"/>
  <c r="R96" i="26"/>
  <c r="R97" i="26"/>
  <c r="Q95" i="26"/>
  <c r="Q96" i="26"/>
  <c r="Q97" i="26"/>
  <c r="P95" i="26"/>
  <c r="P96" i="26"/>
  <c r="P97" i="26"/>
  <c r="O95" i="26"/>
  <c r="O96" i="26"/>
  <c r="O97" i="26"/>
  <c r="N95" i="26"/>
  <c r="N96" i="26"/>
  <c r="N97" i="26"/>
  <c r="M95" i="26"/>
  <c r="M96" i="26"/>
  <c r="M97" i="26"/>
  <c r="L95" i="26"/>
  <c r="L96" i="26"/>
  <c r="L97" i="26"/>
  <c r="K95" i="26"/>
  <c r="K96" i="26"/>
  <c r="K97" i="26"/>
  <c r="J95" i="26"/>
  <c r="J96" i="26"/>
  <c r="J97" i="26"/>
  <c r="I95" i="26"/>
  <c r="I96" i="26"/>
  <c r="I97" i="26"/>
  <c r="H95" i="26"/>
  <c r="H96" i="26"/>
  <c r="H97" i="26"/>
  <c r="S119" i="25"/>
  <c r="S120" i="25"/>
  <c r="S121" i="25"/>
  <c r="S122" i="25"/>
  <c r="R119" i="25"/>
  <c r="R120" i="25"/>
  <c r="R121" i="25"/>
  <c r="R122" i="25"/>
  <c r="Q119" i="25"/>
  <c r="Q120" i="25"/>
  <c r="Q121" i="25"/>
  <c r="Q122" i="25"/>
  <c r="P119" i="25"/>
  <c r="P120" i="25"/>
  <c r="P121" i="25"/>
  <c r="P122" i="25"/>
  <c r="O119" i="25"/>
  <c r="O120" i="25"/>
  <c r="O121" i="25"/>
  <c r="O122" i="25"/>
  <c r="N119" i="25"/>
  <c r="N120" i="25"/>
  <c r="N121" i="25"/>
  <c r="N122" i="25"/>
  <c r="M119" i="25"/>
  <c r="M120" i="25"/>
  <c r="M121" i="25"/>
  <c r="M122" i="25"/>
  <c r="L119" i="25"/>
  <c r="L120" i="25"/>
  <c r="L121" i="25"/>
  <c r="L122" i="25"/>
  <c r="K119" i="25"/>
  <c r="K120" i="25"/>
  <c r="K121" i="25"/>
  <c r="K122" i="25"/>
  <c r="J119" i="25"/>
  <c r="J120" i="25"/>
  <c r="J121" i="25"/>
  <c r="J122" i="25"/>
  <c r="I119" i="25"/>
  <c r="I120" i="25"/>
  <c r="I121" i="25"/>
  <c r="I122" i="25"/>
  <c r="H119" i="25"/>
  <c r="H120" i="25"/>
  <c r="H121" i="25"/>
  <c r="H122" i="25"/>
  <c r="S114" i="25"/>
  <c r="S115" i="25"/>
  <c r="S116" i="25"/>
  <c r="S117" i="25"/>
  <c r="R114" i="25"/>
  <c r="R115" i="25"/>
  <c r="R116" i="25"/>
  <c r="R117" i="25"/>
  <c r="Q114" i="25"/>
  <c r="Q115" i="25"/>
  <c r="Q116" i="25"/>
  <c r="Q117" i="25"/>
  <c r="P114" i="25"/>
  <c r="P115" i="25"/>
  <c r="P116" i="25"/>
  <c r="P117" i="25"/>
  <c r="O114" i="25"/>
  <c r="O115" i="25"/>
  <c r="O116" i="25"/>
  <c r="O117" i="25"/>
  <c r="N114" i="25"/>
  <c r="N115" i="25"/>
  <c r="N116" i="25"/>
  <c r="N117" i="25"/>
  <c r="M114" i="25"/>
  <c r="M115" i="25"/>
  <c r="M116" i="25"/>
  <c r="M117" i="25"/>
  <c r="L114" i="25"/>
  <c r="L115" i="25"/>
  <c r="L116" i="25"/>
  <c r="L117" i="25"/>
  <c r="K114" i="25"/>
  <c r="K115" i="25"/>
  <c r="K116" i="25"/>
  <c r="K117" i="25"/>
  <c r="J114" i="25"/>
  <c r="J115" i="25"/>
  <c r="J116" i="25"/>
  <c r="J117" i="25"/>
  <c r="I114" i="25"/>
  <c r="I115" i="25"/>
  <c r="I116" i="25"/>
  <c r="I117" i="25"/>
  <c r="H114" i="25"/>
  <c r="H115" i="25"/>
  <c r="H116" i="25"/>
  <c r="H117" i="25"/>
  <c r="S109" i="25"/>
  <c r="S110" i="25"/>
  <c r="S111" i="25"/>
  <c r="S112" i="25"/>
  <c r="R109" i="25"/>
  <c r="R110" i="25"/>
  <c r="R111" i="25"/>
  <c r="R112" i="25"/>
  <c r="Q109" i="25"/>
  <c r="Q110" i="25"/>
  <c r="Q111" i="25"/>
  <c r="Q112" i="25"/>
  <c r="P109" i="25"/>
  <c r="P110" i="25"/>
  <c r="P111" i="25"/>
  <c r="P112" i="25"/>
  <c r="O109" i="25"/>
  <c r="O110" i="25"/>
  <c r="O111" i="25"/>
  <c r="O112" i="25"/>
  <c r="N109" i="25"/>
  <c r="N110" i="25"/>
  <c r="N111" i="25"/>
  <c r="N112" i="25"/>
  <c r="M109" i="25"/>
  <c r="M110" i="25"/>
  <c r="M111" i="25"/>
  <c r="M112" i="25"/>
  <c r="L109" i="25"/>
  <c r="L110" i="25"/>
  <c r="L111" i="25"/>
  <c r="L112" i="25"/>
  <c r="K109" i="25"/>
  <c r="K110" i="25"/>
  <c r="K111" i="25"/>
  <c r="K112" i="25"/>
  <c r="J109" i="25"/>
  <c r="J110" i="25"/>
  <c r="J111" i="25"/>
  <c r="J112" i="25"/>
  <c r="I109" i="25"/>
  <c r="I110" i="25"/>
  <c r="I111" i="25"/>
  <c r="I112" i="25"/>
  <c r="H109" i="25"/>
  <c r="H110" i="25"/>
  <c r="H111" i="25"/>
  <c r="H112" i="25"/>
  <c r="S103" i="25"/>
  <c r="S104" i="25"/>
  <c r="S105" i="25"/>
  <c r="R103" i="25"/>
  <c r="R104" i="25"/>
  <c r="R105" i="25"/>
  <c r="Q103" i="25"/>
  <c r="Q104" i="25"/>
  <c r="Q105" i="25"/>
  <c r="P103" i="25"/>
  <c r="P104" i="25"/>
  <c r="P105" i="25"/>
  <c r="O103" i="25"/>
  <c r="O104" i="25"/>
  <c r="O105" i="25"/>
  <c r="N103" i="25"/>
  <c r="N104" i="25"/>
  <c r="N105" i="25"/>
  <c r="M103" i="25"/>
  <c r="M104" i="25"/>
  <c r="M105" i="25"/>
  <c r="L103" i="25"/>
  <c r="L104" i="25"/>
  <c r="L105" i="25"/>
  <c r="K47" i="25"/>
  <c r="K103" i="25"/>
  <c r="K46" i="25"/>
  <c r="K104" i="25"/>
  <c r="K105" i="25"/>
  <c r="J47" i="25"/>
  <c r="J103" i="25"/>
  <c r="J46" i="25"/>
  <c r="J104" i="25"/>
  <c r="J105" i="25"/>
  <c r="I47" i="25"/>
  <c r="I103" i="25"/>
  <c r="I46" i="25"/>
  <c r="I104" i="25"/>
  <c r="I105" i="25"/>
  <c r="H47" i="25"/>
  <c r="H103" i="25"/>
  <c r="H46" i="25"/>
  <c r="H104" i="25"/>
  <c r="H105" i="25"/>
  <c r="S99" i="25"/>
  <c r="S100" i="25"/>
  <c r="S101" i="25"/>
  <c r="R99" i="25"/>
  <c r="R100" i="25"/>
  <c r="R101" i="25"/>
  <c r="Q99" i="25"/>
  <c r="Q100" i="25"/>
  <c r="Q101" i="25"/>
  <c r="P99" i="25"/>
  <c r="P100" i="25"/>
  <c r="P101" i="25"/>
  <c r="O99" i="25"/>
  <c r="O100" i="25"/>
  <c r="O101" i="25"/>
  <c r="N99" i="25"/>
  <c r="N100" i="25"/>
  <c r="N101" i="25"/>
  <c r="M99" i="25"/>
  <c r="M100" i="25"/>
  <c r="M101" i="25"/>
  <c r="L99" i="25"/>
  <c r="L100" i="25"/>
  <c r="L101" i="25"/>
  <c r="K48" i="25"/>
  <c r="K99" i="25"/>
  <c r="K100" i="25"/>
  <c r="K101" i="25"/>
  <c r="J48" i="25"/>
  <c r="J99" i="25"/>
  <c r="J100" i="25"/>
  <c r="J101" i="25"/>
  <c r="I48" i="25"/>
  <c r="I99" i="25"/>
  <c r="I100" i="25"/>
  <c r="I101" i="25"/>
  <c r="H48" i="25"/>
  <c r="H99" i="25"/>
  <c r="H100" i="25"/>
  <c r="H101" i="25"/>
  <c r="S95" i="25"/>
  <c r="S96" i="25"/>
  <c r="S97" i="25"/>
  <c r="R95" i="25"/>
  <c r="R96" i="25"/>
  <c r="R97" i="25"/>
  <c r="Q95" i="25"/>
  <c r="Q96" i="25"/>
  <c r="Q97" i="25"/>
  <c r="P95" i="25"/>
  <c r="P96" i="25"/>
  <c r="P97" i="25"/>
  <c r="O95" i="25"/>
  <c r="O96" i="25"/>
  <c r="O97" i="25"/>
  <c r="N95" i="25"/>
  <c r="N96" i="25"/>
  <c r="N97" i="25"/>
  <c r="M95" i="25"/>
  <c r="M96" i="25"/>
  <c r="M97" i="25"/>
  <c r="L95" i="25"/>
  <c r="L96" i="25"/>
  <c r="L97" i="25"/>
  <c r="K95" i="25"/>
  <c r="K96" i="25"/>
  <c r="K97" i="25"/>
  <c r="J95" i="25"/>
  <c r="J96" i="25"/>
  <c r="J97" i="25"/>
  <c r="I95" i="25"/>
  <c r="I96" i="25"/>
  <c r="I97" i="25"/>
  <c r="H95" i="25"/>
  <c r="H96" i="25"/>
  <c r="H97" i="25"/>
  <c r="S120" i="24"/>
  <c r="S121" i="24"/>
  <c r="S122" i="24"/>
  <c r="S123" i="24"/>
  <c r="R120" i="24"/>
  <c r="R121" i="24"/>
  <c r="R122" i="24"/>
  <c r="R123" i="24"/>
  <c r="Q120" i="24"/>
  <c r="Q121" i="24"/>
  <c r="Q122" i="24"/>
  <c r="Q123" i="24"/>
  <c r="P120" i="24"/>
  <c r="P121" i="24"/>
  <c r="P122" i="24"/>
  <c r="P123" i="24"/>
  <c r="O120" i="24"/>
  <c r="O121" i="24"/>
  <c r="O122" i="24"/>
  <c r="O123" i="24"/>
  <c r="N120" i="24"/>
  <c r="N121" i="24"/>
  <c r="N122" i="24"/>
  <c r="N123" i="24"/>
  <c r="M120" i="24"/>
  <c r="M121" i="24"/>
  <c r="M122" i="24"/>
  <c r="M123" i="24"/>
  <c r="L120" i="24"/>
  <c r="L121" i="24"/>
  <c r="L122" i="24"/>
  <c r="L123" i="24"/>
  <c r="K120" i="24"/>
  <c r="K121" i="24"/>
  <c r="K122" i="24"/>
  <c r="K123" i="24"/>
  <c r="J120" i="24"/>
  <c r="J121" i="24"/>
  <c r="J122" i="24"/>
  <c r="J123" i="24"/>
  <c r="I120" i="24"/>
  <c r="I121" i="24"/>
  <c r="I122" i="24"/>
  <c r="I123" i="24"/>
  <c r="H120" i="24"/>
  <c r="H121" i="24"/>
  <c r="H122" i="24"/>
  <c r="H123" i="24"/>
  <c r="S115" i="24"/>
  <c r="S116" i="24"/>
  <c r="S117" i="24"/>
  <c r="S118" i="24"/>
  <c r="R115" i="24"/>
  <c r="R116" i="24"/>
  <c r="R117" i="24"/>
  <c r="R118" i="24"/>
  <c r="Q115" i="24"/>
  <c r="Q116" i="24"/>
  <c r="Q117" i="24"/>
  <c r="Q118" i="24"/>
  <c r="P115" i="24"/>
  <c r="P116" i="24"/>
  <c r="P117" i="24"/>
  <c r="P118" i="24"/>
  <c r="O115" i="24"/>
  <c r="O116" i="24"/>
  <c r="O117" i="24"/>
  <c r="O118" i="24"/>
  <c r="N115" i="24"/>
  <c r="N116" i="24"/>
  <c r="N117" i="24"/>
  <c r="N118" i="24"/>
  <c r="M115" i="24"/>
  <c r="M116" i="24"/>
  <c r="M117" i="24"/>
  <c r="M118" i="24"/>
  <c r="L115" i="24"/>
  <c r="L116" i="24"/>
  <c r="L117" i="24"/>
  <c r="L118" i="24"/>
  <c r="K115" i="24"/>
  <c r="K116" i="24"/>
  <c r="K117" i="24"/>
  <c r="K118" i="24"/>
  <c r="J115" i="24"/>
  <c r="J116" i="24"/>
  <c r="J117" i="24"/>
  <c r="J118" i="24"/>
  <c r="I115" i="24"/>
  <c r="I116" i="24"/>
  <c r="I117" i="24"/>
  <c r="I118" i="24"/>
  <c r="H115" i="24"/>
  <c r="H116" i="24"/>
  <c r="H117" i="24"/>
  <c r="H118" i="24"/>
  <c r="S110" i="24"/>
  <c r="S111" i="24"/>
  <c r="S112" i="24"/>
  <c r="S113" i="24"/>
  <c r="R110" i="24"/>
  <c r="R111" i="24"/>
  <c r="R112" i="24"/>
  <c r="R113" i="24"/>
  <c r="Q110" i="24"/>
  <c r="Q111" i="24"/>
  <c r="Q112" i="24"/>
  <c r="Q113" i="24"/>
  <c r="P110" i="24"/>
  <c r="P111" i="24"/>
  <c r="P112" i="24"/>
  <c r="P113" i="24"/>
  <c r="O110" i="24"/>
  <c r="O111" i="24"/>
  <c r="O112" i="24"/>
  <c r="O113" i="24"/>
  <c r="N110" i="24"/>
  <c r="N111" i="24"/>
  <c r="N112" i="24"/>
  <c r="N113" i="24"/>
  <c r="M110" i="24"/>
  <c r="M111" i="24"/>
  <c r="M112" i="24"/>
  <c r="M113" i="24"/>
  <c r="L110" i="24"/>
  <c r="L111" i="24"/>
  <c r="L112" i="24"/>
  <c r="L113" i="24"/>
  <c r="K110" i="24"/>
  <c r="K111" i="24"/>
  <c r="K112" i="24"/>
  <c r="K113" i="24"/>
  <c r="J110" i="24"/>
  <c r="J111" i="24"/>
  <c r="J112" i="24"/>
  <c r="J113" i="24"/>
  <c r="I110" i="24"/>
  <c r="I111" i="24"/>
  <c r="I112" i="24"/>
  <c r="I113" i="24"/>
  <c r="H110" i="24"/>
  <c r="H111" i="24"/>
  <c r="H112" i="24"/>
  <c r="H113" i="24"/>
  <c r="S104" i="24"/>
  <c r="S105" i="24"/>
  <c r="S106" i="24"/>
  <c r="R104" i="24"/>
  <c r="R105" i="24"/>
  <c r="R106" i="24"/>
  <c r="Q104" i="24"/>
  <c r="Q105" i="24"/>
  <c r="Q106" i="24"/>
  <c r="P104" i="24"/>
  <c r="P105" i="24"/>
  <c r="P106" i="24"/>
  <c r="O104" i="24"/>
  <c r="O105" i="24"/>
  <c r="O106" i="24"/>
  <c r="N104" i="24"/>
  <c r="N105" i="24"/>
  <c r="N106" i="24"/>
  <c r="M104" i="24"/>
  <c r="M105" i="24"/>
  <c r="M106" i="24"/>
  <c r="L104" i="24"/>
  <c r="L105" i="24"/>
  <c r="L106" i="24"/>
  <c r="K48" i="24"/>
  <c r="K104" i="24"/>
  <c r="K47" i="24"/>
  <c r="K105" i="24"/>
  <c r="K106" i="24"/>
  <c r="J48" i="24"/>
  <c r="J104" i="24"/>
  <c r="J47" i="24"/>
  <c r="J105" i="24"/>
  <c r="J106" i="24"/>
  <c r="I48" i="24"/>
  <c r="I104" i="24"/>
  <c r="I47" i="24"/>
  <c r="I105" i="24"/>
  <c r="I106" i="24"/>
  <c r="H48" i="24"/>
  <c r="H104" i="24"/>
  <c r="H47" i="24"/>
  <c r="H105" i="24"/>
  <c r="H106" i="24"/>
  <c r="S100" i="24"/>
  <c r="S101" i="24"/>
  <c r="S102" i="24"/>
  <c r="R100" i="24"/>
  <c r="R101" i="24"/>
  <c r="R102" i="24"/>
  <c r="Q100" i="24"/>
  <c r="Q101" i="24"/>
  <c r="Q102" i="24"/>
  <c r="P100" i="24"/>
  <c r="P101" i="24"/>
  <c r="P102" i="24"/>
  <c r="O100" i="24"/>
  <c r="O101" i="24"/>
  <c r="O102" i="24"/>
  <c r="N100" i="24"/>
  <c r="N101" i="24"/>
  <c r="N102" i="24"/>
  <c r="M100" i="24"/>
  <c r="M101" i="24"/>
  <c r="M102" i="24"/>
  <c r="L100" i="24"/>
  <c r="L101" i="24"/>
  <c r="L102" i="24"/>
  <c r="K49" i="24"/>
  <c r="K100" i="24"/>
  <c r="K101" i="24"/>
  <c r="K102" i="24"/>
  <c r="J49" i="24"/>
  <c r="J100" i="24"/>
  <c r="J101" i="24"/>
  <c r="J102" i="24"/>
  <c r="I49" i="24"/>
  <c r="I100" i="24"/>
  <c r="I101" i="24"/>
  <c r="I102" i="24"/>
  <c r="H49" i="24"/>
  <c r="H100" i="24"/>
  <c r="H101" i="24"/>
  <c r="H102" i="24"/>
  <c r="S96" i="24"/>
  <c r="S97" i="24"/>
  <c r="S98" i="24"/>
  <c r="R96" i="24"/>
  <c r="R97" i="24"/>
  <c r="R98" i="24"/>
  <c r="Q96" i="24"/>
  <c r="Q97" i="24"/>
  <c r="Q98" i="24"/>
  <c r="P96" i="24"/>
  <c r="P97" i="24"/>
  <c r="P98" i="24"/>
  <c r="O96" i="24"/>
  <c r="O97" i="24"/>
  <c r="O98" i="24"/>
  <c r="N96" i="24"/>
  <c r="N97" i="24"/>
  <c r="N98" i="24"/>
  <c r="M96" i="24"/>
  <c r="M97" i="24"/>
  <c r="M98" i="24"/>
  <c r="L96" i="24"/>
  <c r="L97" i="24"/>
  <c r="L98" i="24"/>
  <c r="K96" i="24"/>
  <c r="K97" i="24"/>
  <c r="K98" i="24"/>
  <c r="J96" i="24"/>
  <c r="J97" i="24"/>
  <c r="J98" i="24"/>
  <c r="I96" i="24"/>
  <c r="I97" i="24"/>
  <c r="I98" i="24"/>
  <c r="H96" i="24"/>
  <c r="H97" i="24"/>
  <c r="H98" i="24"/>
  <c r="S61" i="24"/>
  <c r="R61" i="24"/>
  <c r="Q61" i="24"/>
  <c r="P61" i="24"/>
  <c r="O61" i="24"/>
  <c r="N61" i="24"/>
  <c r="M61" i="24"/>
  <c r="L61" i="24"/>
  <c r="K61" i="24"/>
  <c r="J61" i="24"/>
  <c r="I61" i="24"/>
  <c r="H61" i="24"/>
  <c r="S60" i="24"/>
  <c r="R60" i="24"/>
  <c r="Q60" i="24"/>
  <c r="P60" i="24"/>
  <c r="O60" i="24"/>
  <c r="N60" i="24"/>
  <c r="M60" i="24"/>
  <c r="L60" i="24"/>
  <c r="K60" i="24"/>
  <c r="J60" i="24"/>
  <c r="I60" i="24"/>
  <c r="H60" i="24"/>
  <c r="S59" i="24"/>
  <c r="R59" i="24"/>
  <c r="Q59" i="24"/>
  <c r="P59" i="24"/>
  <c r="O59" i="24"/>
  <c r="N59" i="24"/>
  <c r="M59" i="24"/>
  <c r="L59" i="24"/>
  <c r="K59" i="24"/>
  <c r="J59" i="24"/>
  <c r="I59" i="24"/>
  <c r="H59" i="24"/>
  <c r="S60" i="25"/>
  <c r="R60" i="25"/>
  <c r="Q60" i="25"/>
  <c r="P60" i="25"/>
  <c r="O60" i="25"/>
  <c r="N60" i="25"/>
  <c r="M60" i="25"/>
  <c r="L60" i="25"/>
  <c r="K60" i="25"/>
  <c r="J60" i="25"/>
  <c r="I60" i="25"/>
  <c r="H60" i="25"/>
  <c r="S59" i="25"/>
  <c r="R59" i="25"/>
  <c r="Q59" i="25"/>
  <c r="P59" i="25"/>
  <c r="O59" i="25"/>
  <c r="N59" i="25"/>
  <c r="M59" i="25"/>
  <c r="L59" i="25"/>
  <c r="K59" i="25"/>
  <c r="J59" i="25"/>
  <c r="I59" i="25"/>
  <c r="H59" i="25"/>
  <c r="S58" i="25"/>
  <c r="R58" i="25"/>
  <c r="Q58" i="25"/>
  <c r="P58" i="25"/>
  <c r="O58" i="25"/>
  <c r="N58" i="25"/>
  <c r="M58" i="25"/>
  <c r="L58" i="25"/>
  <c r="K58" i="25"/>
  <c r="J58" i="25"/>
  <c r="I58" i="25"/>
  <c r="H58" i="25"/>
  <c r="S60" i="26"/>
  <c r="R60" i="26"/>
  <c r="Q60" i="26"/>
  <c r="P60" i="26"/>
  <c r="O60" i="26"/>
  <c r="N60" i="26"/>
  <c r="M60" i="26"/>
  <c r="L60" i="26"/>
  <c r="K60" i="26"/>
  <c r="J60" i="26"/>
  <c r="I60" i="26"/>
  <c r="H60" i="26"/>
  <c r="S59" i="26"/>
  <c r="R59" i="26"/>
  <c r="Q59" i="26"/>
  <c r="P59" i="26"/>
  <c r="O59" i="26"/>
  <c r="N59" i="26"/>
  <c r="M59" i="26"/>
  <c r="L59" i="26"/>
  <c r="K59" i="26"/>
  <c r="J59" i="26"/>
  <c r="I59" i="26"/>
  <c r="H59" i="26"/>
  <c r="S58" i="26"/>
  <c r="R58" i="26"/>
  <c r="Q58" i="26"/>
  <c r="P58" i="26"/>
  <c r="O58" i="26"/>
  <c r="N58" i="26"/>
  <c r="M58" i="26"/>
  <c r="L58" i="26"/>
  <c r="K58" i="26"/>
  <c r="J58" i="26"/>
  <c r="I58" i="26"/>
  <c r="H58" i="26"/>
  <c r="S61" i="27"/>
  <c r="R61" i="27"/>
  <c r="Q61" i="27"/>
  <c r="P61" i="27"/>
  <c r="O61" i="27"/>
  <c r="N61" i="27"/>
  <c r="M61" i="27"/>
  <c r="L61" i="27"/>
  <c r="K61" i="27"/>
  <c r="J61" i="27"/>
  <c r="I61" i="27"/>
  <c r="H61" i="27"/>
  <c r="S60" i="27"/>
  <c r="R60" i="27"/>
  <c r="Q60" i="27"/>
  <c r="P60" i="27"/>
  <c r="O60" i="27"/>
  <c r="N60" i="27"/>
  <c r="M60" i="27"/>
  <c r="L60" i="27"/>
  <c r="K60" i="27"/>
  <c r="J60" i="27"/>
  <c r="I60" i="27"/>
  <c r="H60" i="27"/>
  <c r="S59" i="27"/>
  <c r="R59" i="27"/>
  <c r="Q59" i="27"/>
  <c r="P59" i="27"/>
  <c r="O59" i="27"/>
  <c r="N59" i="27"/>
  <c r="M59" i="27"/>
  <c r="L59" i="27"/>
  <c r="K59" i="27"/>
  <c r="J59" i="27"/>
  <c r="I59" i="27"/>
  <c r="H59" i="27"/>
  <c r="S60" i="28"/>
  <c r="R60" i="28"/>
  <c r="Q60" i="28"/>
  <c r="P60" i="28"/>
  <c r="O60" i="28"/>
  <c r="N60" i="28"/>
  <c r="M60" i="28"/>
  <c r="L60" i="28"/>
  <c r="K60" i="28"/>
  <c r="J60" i="28"/>
  <c r="I60" i="28"/>
  <c r="H60" i="28"/>
  <c r="S59" i="28"/>
  <c r="R59" i="28"/>
  <c r="Q59" i="28"/>
  <c r="P59" i="28"/>
  <c r="O59" i="28"/>
  <c r="N59" i="28"/>
  <c r="M59" i="28"/>
  <c r="L59" i="28"/>
  <c r="K59" i="28"/>
  <c r="J59" i="28"/>
  <c r="I59" i="28"/>
  <c r="H59" i="28"/>
  <c r="S58" i="28"/>
  <c r="R58" i="28"/>
  <c r="Q58" i="28"/>
  <c r="P58" i="28"/>
  <c r="O58" i="28"/>
  <c r="N58" i="28"/>
  <c r="M58" i="28"/>
  <c r="L58" i="28"/>
  <c r="K58" i="28"/>
  <c r="J58" i="28"/>
  <c r="I58" i="28"/>
  <c r="H58" i="28"/>
  <c r="S61" i="29"/>
  <c r="R61" i="29"/>
  <c r="Q61" i="29"/>
  <c r="P61" i="29"/>
  <c r="O61" i="29"/>
  <c r="N61" i="29"/>
  <c r="M61" i="29"/>
  <c r="L61" i="29"/>
  <c r="K61" i="29"/>
  <c r="J61" i="29"/>
  <c r="I61" i="29"/>
  <c r="H61" i="29"/>
  <c r="S60" i="29"/>
  <c r="R60" i="29"/>
  <c r="Q60" i="29"/>
  <c r="P60" i="29"/>
  <c r="O60" i="29"/>
  <c r="N60" i="29"/>
  <c r="M60" i="29"/>
  <c r="L60" i="29"/>
  <c r="K60" i="29"/>
  <c r="J60" i="29"/>
  <c r="I60" i="29"/>
  <c r="H60" i="29"/>
  <c r="S59" i="29"/>
  <c r="R59" i="29"/>
  <c r="Q59" i="29"/>
  <c r="P59" i="29"/>
  <c r="O59" i="29"/>
  <c r="N59" i="29"/>
  <c r="M59" i="29"/>
  <c r="L59" i="29"/>
  <c r="K59" i="29"/>
  <c r="J59" i="29"/>
  <c r="I59" i="29"/>
  <c r="H59" i="29"/>
  <c r="S61" i="30"/>
  <c r="R61" i="30"/>
  <c r="Q61" i="30"/>
  <c r="P61" i="30"/>
  <c r="O61" i="30"/>
  <c r="N61" i="30"/>
  <c r="M61" i="30"/>
  <c r="L61" i="30"/>
  <c r="K61" i="30"/>
  <c r="J61" i="30"/>
  <c r="I61" i="30"/>
  <c r="H61" i="30"/>
  <c r="S60" i="30"/>
  <c r="R60" i="30"/>
  <c r="Q60" i="30"/>
  <c r="P60" i="30"/>
  <c r="O60" i="30"/>
  <c r="N60" i="30"/>
  <c r="M60" i="30"/>
  <c r="L60" i="30"/>
  <c r="K60" i="30"/>
  <c r="J60" i="30"/>
  <c r="I60" i="30"/>
  <c r="H60" i="30"/>
  <c r="S59" i="30"/>
  <c r="R59" i="30"/>
  <c r="Q59" i="30"/>
  <c r="P59" i="30"/>
  <c r="O59" i="30"/>
  <c r="N59" i="30"/>
  <c r="M59" i="30"/>
  <c r="L59" i="30"/>
  <c r="K59" i="30"/>
  <c r="J59" i="30"/>
  <c r="I59" i="30"/>
  <c r="H59" i="30"/>
  <c r="I59" i="31"/>
  <c r="J59" i="31"/>
  <c r="K59" i="31"/>
  <c r="L59" i="31"/>
  <c r="M59" i="31"/>
  <c r="N59" i="31"/>
  <c r="O59" i="31"/>
  <c r="P59" i="31"/>
  <c r="Q59" i="31"/>
  <c r="R59" i="31"/>
  <c r="S59" i="31"/>
  <c r="I60" i="31"/>
  <c r="J60" i="31"/>
  <c r="K60" i="31"/>
  <c r="L60" i="31"/>
  <c r="M60" i="31"/>
  <c r="N60" i="31"/>
  <c r="O60" i="31"/>
  <c r="P60" i="31"/>
  <c r="Q60" i="31"/>
  <c r="R60" i="31"/>
  <c r="S60" i="31"/>
  <c r="I61" i="31"/>
  <c r="J61" i="31"/>
  <c r="K61" i="31"/>
  <c r="L61" i="31"/>
  <c r="M61" i="31"/>
  <c r="N61" i="31"/>
  <c r="O61" i="31"/>
  <c r="P61" i="31"/>
  <c r="Q61" i="31"/>
  <c r="R61" i="31"/>
  <c r="S61" i="31"/>
  <c r="H61" i="31"/>
  <c r="H60" i="31"/>
  <c r="H59" i="3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20" i="21"/>
  <c r="H121" i="21"/>
  <c r="H122" i="21"/>
  <c r="H123" i="21"/>
  <c r="H61" i="21"/>
  <c r="H115" i="21"/>
  <c r="H116" i="21"/>
  <c r="H117" i="21"/>
  <c r="H118" i="21"/>
  <c r="H60" i="21"/>
  <c r="H110" i="21"/>
  <c r="H111" i="21"/>
  <c r="H112" i="21"/>
  <c r="H113" i="21"/>
  <c r="H59" i="21"/>
  <c r="S53" i="31"/>
  <c r="R53" i="31"/>
  <c r="Q53" i="31"/>
  <c r="P53" i="31"/>
  <c r="O53" i="31"/>
  <c r="N53" i="31"/>
  <c r="M53" i="31"/>
  <c r="L53" i="31"/>
  <c r="K53" i="31"/>
  <c r="J53" i="31"/>
  <c r="I53" i="31"/>
  <c r="H53" i="31"/>
  <c r="S52" i="31"/>
  <c r="R52" i="31"/>
  <c r="Q52" i="31"/>
  <c r="P52" i="31"/>
  <c r="O52" i="31"/>
  <c r="N52" i="31"/>
  <c r="M52" i="31"/>
  <c r="L52" i="31"/>
  <c r="K52" i="31"/>
  <c r="J52" i="31"/>
  <c r="I52" i="31"/>
  <c r="H52" i="31"/>
  <c r="S51" i="31"/>
  <c r="R51" i="31"/>
  <c r="Q51" i="31"/>
  <c r="P51" i="31"/>
  <c r="O51" i="31"/>
  <c r="N51" i="31"/>
  <c r="M51" i="31"/>
  <c r="L51" i="31"/>
  <c r="K51" i="31"/>
  <c r="J51" i="31"/>
  <c r="I51" i="31"/>
  <c r="H51" i="31"/>
  <c r="S53" i="30"/>
  <c r="R53" i="30"/>
  <c r="Q53" i="30"/>
  <c r="P53" i="30"/>
  <c r="O53" i="30"/>
  <c r="N53" i="30"/>
  <c r="M53" i="30"/>
  <c r="L53" i="30"/>
  <c r="K53" i="30"/>
  <c r="J53" i="30"/>
  <c r="I53" i="30"/>
  <c r="H53" i="30"/>
  <c r="S52" i="30"/>
  <c r="R52" i="30"/>
  <c r="Q52" i="30"/>
  <c r="P52" i="30"/>
  <c r="O52" i="30"/>
  <c r="N52" i="30"/>
  <c r="M52" i="30"/>
  <c r="L52" i="30"/>
  <c r="K52" i="30"/>
  <c r="J52" i="30"/>
  <c r="I52" i="30"/>
  <c r="H52" i="30"/>
  <c r="S51" i="30"/>
  <c r="R51" i="30"/>
  <c r="Q51" i="30"/>
  <c r="P51" i="30"/>
  <c r="O51" i="30"/>
  <c r="N51" i="30"/>
  <c r="M51" i="30"/>
  <c r="L51" i="30"/>
  <c r="K51" i="30"/>
  <c r="J51" i="30"/>
  <c r="I51" i="30"/>
  <c r="H51" i="30"/>
  <c r="S53" i="29"/>
  <c r="R53" i="29"/>
  <c r="Q53" i="29"/>
  <c r="P53" i="29"/>
  <c r="O53" i="29"/>
  <c r="N53" i="29"/>
  <c r="M53" i="29"/>
  <c r="L53" i="29"/>
  <c r="K53" i="29"/>
  <c r="J53" i="29"/>
  <c r="I53" i="29"/>
  <c r="H53" i="29"/>
  <c r="S52" i="29"/>
  <c r="R52" i="29"/>
  <c r="Q52" i="29"/>
  <c r="P52" i="29"/>
  <c r="O52" i="29"/>
  <c r="N52" i="29"/>
  <c r="M52" i="29"/>
  <c r="L52" i="29"/>
  <c r="K52" i="29"/>
  <c r="J52" i="29"/>
  <c r="I52" i="29"/>
  <c r="H52" i="29"/>
  <c r="S51" i="29"/>
  <c r="R51" i="29"/>
  <c r="Q51" i="29"/>
  <c r="P51" i="29"/>
  <c r="O51" i="29"/>
  <c r="N51" i="29"/>
  <c r="M51" i="29"/>
  <c r="L51" i="29"/>
  <c r="K51" i="29"/>
  <c r="J51" i="29"/>
  <c r="I51" i="29"/>
  <c r="H51" i="29"/>
  <c r="S52" i="28"/>
  <c r="R52" i="28"/>
  <c r="Q52" i="28"/>
  <c r="P52" i="28"/>
  <c r="O52" i="28"/>
  <c r="N52" i="28"/>
  <c r="M52" i="28"/>
  <c r="L52" i="28"/>
  <c r="K52" i="28"/>
  <c r="J52" i="28"/>
  <c r="I52" i="28"/>
  <c r="H52" i="28"/>
  <c r="S51" i="28"/>
  <c r="R51" i="28"/>
  <c r="Q51" i="28"/>
  <c r="P51" i="28"/>
  <c r="O51" i="28"/>
  <c r="N51" i="28"/>
  <c r="M51" i="28"/>
  <c r="L51" i="28"/>
  <c r="K51" i="28"/>
  <c r="J51" i="28"/>
  <c r="I51" i="28"/>
  <c r="H51" i="28"/>
  <c r="S50" i="28"/>
  <c r="R50" i="28"/>
  <c r="Q50" i="28"/>
  <c r="P50" i="28"/>
  <c r="O50" i="28"/>
  <c r="N50" i="28"/>
  <c r="M50" i="28"/>
  <c r="L50" i="28"/>
  <c r="K50" i="28"/>
  <c r="J50" i="28"/>
  <c r="I50" i="28"/>
  <c r="H50" i="28"/>
  <c r="S53" i="27"/>
  <c r="R53" i="27"/>
  <c r="Q53" i="27"/>
  <c r="P53" i="27"/>
  <c r="O53" i="27"/>
  <c r="N53" i="27"/>
  <c r="M53" i="27"/>
  <c r="L53" i="27"/>
  <c r="K53" i="27"/>
  <c r="J53" i="27"/>
  <c r="I53" i="27"/>
  <c r="H53" i="27"/>
  <c r="S52" i="27"/>
  <c r="R52" i="27"/>
  <c r="Q52" i="27"/>
  <c r="P52" i="27"/>
  <c r="O52" i="27"/>
  <c r="N52" i="27"/>
  <c r="M52" i="27"/>
  <c r="L52" i="27"/>
  <c r="K52" i="27"/>
  <c r="J52" i="27"/>
  <c r="I52" i="27"/>
  <c r="H52" i="27"/>
  <c r="S51" i="27"/>
  <c r="R51" i="27"/>
  <c r="Q51" i="27"/>
  <c r="P51" i="27"/>
  <c r="O51" i="27"/>
  <c r="N51" i="27"/>
  <c r="M51" i="27"/>
  <c r="L51" i="27"/>
  <c r="K51" i="27"/>
  <c r="J51" i="27"/>
  <c r="I51" i="27"/>
  <c r="H51" i="27"/>
  <c r="S52" i="26"/>
  <c r="R52" i="26"/>
  <c r="Q52" i="26"/>
  <c r="P52" i="26"/>
  <c r="O52" i="26"/>
  <c r="N52" i="26"/>
  <c r="M52" i="26"/>
  <c r="L52" i="26"/>
  <c r="K52" i="26"/>
  <c r="J52" i="26"/>
  <c r="I52" i="26"/>
  <c r="H52" i="26"/>
  <c r="S51" i="26"/>
  <c r="R51" i="26"/>
  <c r="Q51" i="26"/>
  <c r="P51" i="26"/>
  <c r="O51" i="26"/>
  <c r="N51" i="26"/>
  <c r="M51" i="26"/>
  <c r="L51" i="26"/>
  <c r="K51" i="26"/>
  <c r="J51" i="26"/>
  <c r="I51" i="26"/>
  <c r="H51" i="26"/>
  <c r="S50" i="26"/>
  <c r="R50" i="26"/>
  <c r="Q50" i="26"/>
  <c r="P50" i="26"/>
  <c r="O50" i="26"/>
  <c r="N50" i="26"/>
  <c r="M50" i="26"/>
  <c r="L50" i="26"/>
  <c r="K50" i="26"/>
  <c r="J50" i="26"/>
  <c r="I50" i="26"/>
  <c r="H50" i="26"/>
  <c r="S52" i="25"/>
  <c r="R52" i="25"/>
  <c r="Q52" i="25"/>
  <c r="P52" i="25"/>
  <c r="O52" i="25"/>
  <c r="N52" i="25"/>
  <c r="M52" i="25"/>
  <c r="L52" i="25"/>
  <c r="K52" i="25"/>
  <c r="J52" i="25"/>
  <c r="I52" i="25"/>
  <c r="H52" i="25"/>
  <c r="S51" i="25"/>
  <c r="R51" i="25"/>
  <c r="Q51" i="25"/>
  <c r="P51" i="25"/>
  <c r="O51" i="25"/>
  <c r="N51" i="25"/>
  <c r="M51" i="25"/>
  <c r="L51" i="25"/>
  <c r="K51" i="25"/>
  <c r="J51" i="25"/>
  <c r="I51" i="25"/>
  <c r="H51" i="25"/>
  <c r="S50" i="25"/>
  <c r="R50" i="25"/>
  <c r="Q50" i="25"/>
  <c r="P50" i="25"/>
  <c r="O50" i="25"/>
  <c r="N50" i="25"/>
  <c r="M50" i="25"/>
  <c r="L50" i="25"/>
  <c r="K50" i="25"/>
  <c r="J50" i="25"/>
  <c r="I50" i="25"/>
  <c r="H50" i="25"/>
  <c r="S53" i="24"/>
  <c r="R53" i="24"/>
  <c r="Q53" i="24"/>
  <c r="P53" i="24"/>
  <c r="O53" i="24"/>
  <c r="N53" i="24"/>
  <c r="M53" i="24"/>
  <c r="L53" i="24"/>
  <c r="K53" i="24"/>
  <c r="J53" i="24"/>
  <c r="I53" i="24"/>
  <c r="H53" i="24"/>
  <c r="S52" i="24"/>
  <c r="R52" i="24"/>
  <c r="Q52" i="24"/>
  <c r="P52" i="24"/>
  <c r="O52" i="24"/>
  <c r="N52" i="24"/>
  <c r="M52" i="24"/>
  <c r="L52" i="24"/>
  <c r="K52" i="24"/>
  <c r="J52" i="24"/>
  <c r="I52" i="24"/>
  <c r="H52" i="24"/>
  <c r="S51" i="24"/>
  <c r="R51" i="24"/>
  <c r="Q51" i="24"/>
  <c r="P51" i="24"/>
  <c r="O51" i="24"/>
  <c r="N51" i="24"/>
  <c r="M51" i="24"/>
  <c r="L51" i="24"/>
  <c r="K51" i="24"/>
  <c r="J51" i="24"/>
  <c r="I51" i="24"/>
  <c r="H51" i="24"/>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04" i="21"/>
  <c r="H47" i="21"/>
  <c r="H105" i="21"/>
  <c r="H106" i="21"/>
  <c r="H53" i="21"/>
  <c r="H100" i="21"/>
  <c r="H101" i="21"/>
  <c r="H102" i="21"/>
  <c r="H52" i="21"/>
  <c r="H96" i="21"/>
  <c r="H97" i="21"/>
  <c r="H98" i="21"/>
  <c r="H51" i="21"/>
  <c r="I120" i="22"/>
  <c r="J120" i="22"/>
  <c r="K120" i="22"/>
  <c r="L120" i="22"/>
  <c r="M120" i="22"/>
  <c r="N120" i="22"/>
  <c r="O120" i="22"/>
  <c r="P120" i="22"/>
  <c r="Q120" i="22"/>
  <c r="R120" i="22"/>
  <c r="S120" i="22"/>
  <c r="I121" i="22"/>
  <c r="J121" i="22"/>
  <c r="K121" i="22"/>
  <c r="L121" i="22"/>
  <c r="M121" i="22"/>
  <c r="N121" i="22"/>
  <c r="O121" i="22"/>
  <c r="P121" i="22"/>
  <c r="Q121" i="22"/>
  <c r="R121" i="22"/>
  <c r="S121" i="22"/>
  <c r="I115" i="22"/>
  <c r="J115" i="22"/>
  <c r="K115" i="22"/>
  <c r="L115" i="22"/>
  <c r="M115" i="22"/>
  <c r="N115" i="22"/>
  <c r="O115" i="22"/>
  <c r="P115" i="22"/>
  <c r="Q115" i="22"/>
  <c r="R115" i="22"/>
  <c r="S115" i="22"/>
  <c r="I116" i="22"/>
  <c r="J116" i="22"/>
  <c r="K116" i="22"/>
  <c r="L116" i="22"/>
  <c r="M116" i="22"/>
  <c r="N116" i="22"/>
  <c r="O116" i="22"/>
  <c r="P116" i="22"/>
  <c r="Q116" i="22"/>
  <c r="R116" i="22"/>
  <c r="S116" i="22"/>
  <c r="I110" i="22"/>
  <c r="J110" i="22"/>
  <c r="K110" i="22"/>
  <c r="L110" i="22"/>
  <c r="M110" i="22"/>
  <c r="N110" i="22"/>
  <c r="O110" i="22"/>
  <c r="P110" i="22"/>
  <c r="Q110" i="22"/>
  <c r="R110" i="22"/>
  <c r="S110" i="22"/>
  <c r="I111" i="22"/>
  <c r="J111" i="22"/>
  <c r="K111" i="22"/>
  <c r="L111" i="22"/>
  <c r="M111" i="22"/>
  <c r="N111" i="22"/>
  <c r="O111" i="22"/>
  <c r="P111" i="22"/>
  <c r="Q111" i="22"/>
  <c r="R111" i="22"/>
  <c r="S111" i="22"/>
  <c r="I48" i="22"/>
  <c r="I104" i="22"/>
  <c r="J48" i="22"/>
  <c r="J104" i="22"/>
  <c r="K48" i="22"/>
  <c r="K104" i="22"/>
  <c r="L104" i="22"/>
  <c r="M104" i="22"/>
  <c r="N104" i="22"/>
  <c r="O104" i="22"/>
  <c r="P104" i="22"/>
  <c r="Q104" i="22"/>
  <c r="R104" i="22"/>
  <c r="S104" i="22"/>
  <c r="I47" i="22"/>
  <c r="I105" i="22"/>
  <c r="J47" i="22"/>
  <c r="J105" i="22"/>
  <c r="K47" i="22"/>
  <c r="K105" i="22"/>
  <c r="L105" i="22"/>
  <c r="M105" i="22"/>
  <c r="N105" i="22"/>
  <c r="O105" i="22"/>
  <c r="P105" i="22"/>
  <c r="Q105" i="22"/>
  <c r="R105" i="22"/>
  <c r="S105" i="22"/>
  <c r="I49" i="22"/>
  <c r="I100" i="22"/>
  <c r="J49" i="22"/>
  <c r="J100" i="22"/>
  <c r="K49" i="22"/>
  <c r="K100" i="22"/>
  <c r="L100" i="22"/>
  <c r="M100" i="22"/>
  <c r="N100" i="22"/>
  <c r="O100" i="22"/>
  <c r="P100" i="22"/>
  <c r="Q100" i="22"/>
  <c r="R100" i="22"/>
  <c r="S100" i="22"/>
  <c r="I101" i="22"/>
  <c r="J101" i="22"/>
  <c r="K101" i="22"/>
  <c r="L101" i="22"/>
  <c r="M101" i="22"/>
  <c r="N101" i="22"/>
  <c r="O101" i="22"/>
  <c r="P101" i="22"/>
  <c r="Q101" i="22"/>
  <c r="R101" i="22"/>
  <c r="S101" i="22"/>
  <c r="I102" i="22"/>
  <c r="J102" i="22"/>
  <c r="K102" i="22"/>
  <c r="L102" i="22"/>
  <c r="M102" i="22"/>
  <c r="N102" i="22"/>
  <c r="O102" i="22"/>
  <c r="P102" i="22"/>
  <c r="Q102" i="22"/>
  <c r="R102" i="22"/>
  <c r="S102" i="22"/>
  <c r="I96" i="22"/>
  <c r="J96" i="22"/>
  <c r="K96" i="22"/>
  <c r="L96" i="22"/>
  <c r="M96" i="22"/>
  <c r="N96" i="22"/>
  <c r="O96" i="22"/>
  <c r="P96" i="22"/>
  <c r="Q96" i="22"/>
  <c r="R96" i="22"/>
  <c r="S96" i="22"/>
  <c r="I97" i="22"/>
  <c r="J97" i="22"/>
  <c r="K97" i="22"/>
  <c r="L97" i="22"/>
  <c r="M97" i="22"/>
  <c r="N97" i="22"/>
  <c r="O97" i="22"/>
  <c r="P97" i="22"/>
  <c r="Q97" i="22"/>
  <c r="R97" i="22"/>
  <c r="S97" i="22"/>
  <c r="I98" i="22"/>
  <c r="J98" i="22"/>
  <c r="K98" i="22"/>
  <c r="L98" i="22"/>
  <c r="M98" i="22"/>
  <c r="N98" i="22"/>
  <c r="O98" i="22"/>
  <c r="P98" i="22"/>
  <c r="Q98" i="22"/>
  <c r="R98" i="22"/>
  <c r="S98" i="22"/>
  <c r="H47" i="22"/>
  <c r="H105" i="22"/>
  <c r="H48" i="22"/>
  <c r="H104" i="22"/>
  <c r="H101" i="22"/>
  <c r="H49" i="22"/>
  <c r="H100" i="22"/>
  <c r="H97" i="22"/>
  <c r="H96" i="22"/>
  <c r="H121" i="22"/>
  <c r="H120" i="22"/>
  <c r="H116" i="22"/>
  <c r="H115" i="22"/>
  <c r="H111" i="22"/>
  <c r="H110" i="22"/>
  <c r="I112" i="22"/>
  <c r="J112" i="22"/>
  <c r="K112" i="22"/>
  <c r="L112" i="22"/>
  <c r="M112" i="22"/>
  <c r="N112" i="22"/>
  <c r="O112" i="22"/>
  <c r="P112" i="22"/>
  <c r="Q112" i="22"/>
  <c r="R112" i="22"/>
  <c r="S112" i="22"/>
  <c r="I113" i="22"/>
  <c r="J113" i="22"/>
  <c r="K113" i="22"/>
  <c r="L113" i="22"/>
  <c r="M113" i="22"/>
  <c r="N113" i="22"/>
  <c r="O113" i="22"/>
  <c r="P113" i="22"/>
  <c r="Q113" i="22"/>
  <c r="R113" i="22"/>
  <c r="S113" i="22"/>
  <c r="I117" i="22"/>
  <c r="J117" i="22"/>
  <c r="K117" i="22"/>
  <c r="L117" i="22"/>
  <c r="M117" i="22"/>
  <c r="N117" i="22"/>
  <c r="O117" i="22"/>
  <c r="P117" i="22"/>
  <c r="Q117" i="22"/>
  <c r="R117" i="22"/>
  <c r="S117" i="22"/>
  <c r="I118" i="22"/>
  <c r="J118" i="22"/>
  <c r="K118" i="22"/>
  <c r="L118" i="22"/>
  <c r="M118" i="22"/>
  <c r="N118" i="22"/>
  <c r="O118" i="22"/>
  <c r="P118" i="22"/>
  <c r="Q118" i="22"/>
  <c r="R118" i="22"/>
  <c r="S118" i="22"/>
  <c r="I122" i="22"/>
  <c r="J122" i="22"/>
  <c r="K122" i="22"/>
  <c r="L122" i="22"/>
  <c r="M122" i="22"/>
  <c r="N122" i="22"/>
  <c r="O122" i="22"/>
  <c r="P122" i="22"/>
  <c r="Q122" i="22"/>
  <c r="R122" i="22"/>
  <c r="S122" i="22"/>
  <c r="I123" i="22"/>
  <c r="J123" i="22"/>
  <c r="K123" i="22"/>
  <c r="L123" i="22"/>
  <c r="M123" i="22"/>
  <c r="N123" i="22"/>
  <c r="O123" i="22"/>
  <c r="P123" i="22"/>
  <c r="Q123" i="22"/>
  <c r="R123" i="22"/>
  <c r="S123" i="22"/>
  <c r="I106" i="22"/>
  <c r="J106" i="22"/>
  <c r="K106" i="22"/>
  <c r="L106" i="22"/>
  <c r="M106" i="22"/>
  <c r="N106" i="22"/>
  <c r="O106" i="22"/>
  <c r="P106" i="22"/>
  <c r="Q106" i="22"/>
  <c r="R106" i="22"/>
  <c r="S106" i="22"/>
  <c r="H102" i="22"/>
  <c r="H106" i="22"/>
  <c r="H98" i="22"/>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H41" i="27"/>
  <c r="I41" i="27"/>
  <c r="J41" i="27"/>
  <c r="K41" i="27"/>
  <c r="H36" i="27"/>
  <c r="H45" i="27"/>
  <c r="I36" i="27"/>
  <c r="I45" i="27"/>
  <c r="J36" i="27"/>
  <c r="J45" i="27"/>
  <c r="K36" i="27"/>
  <c r="K45" i="27"/>
  <c r="L45" i="27"/>
  <c r="M45" i="27"/>
  <c r="N45" i="27"/>
  <c r="O45" i="27"/>
  <c r="P45" i="27"/>
  <c r="Q45" i="27"/>
  <c r="R45" i="27"/>
  <c r="S45" i="27"/>
  <c r="B31" i="27"/>
  <c r="H191" i="18"/>
  <c r="H40" i="27"/>
  <c r="I40" i="27"/>
  <c r="J40" i="27"/>
  <c r="K40" i="27"/>
  <c r="H37" i="27"/>
  <c r="H44" i="27"/>
  <c r="I37" i="27"/>
  <c r="I44" i="27"/>
  <c r="J37" i="27"/>
  <c r="J44" i="27"/>
  <c r="K37" i="27"/>
  <c r="K44" i="27"/>
  <c r="L44" i="27"/>
  <c r="M44" i="27"/>
  <c r="N44" i="27"/>
  <c r="O44" i="27"/>
  <c r="P44" i="27"/>
  <c r="Q44" i="27"/>
  <c r="R44" i="27"/>
  <c r="S44" i="27"/>
  <c r="B30" i="27"/>
  <c r="H190" i="18"/>
  <c r="H39" i="27"/>
  <c r="I39" i="27"/>
  <c r="J39" i="27"/>
  <c r="K39" i="27"/>
  <c r="H43" i="27"/>
  <c r="I43" i="27"/>
  <c r="J43" i="27"/>
  <c r="K43" i="27"/>
  <c r="L43" i="27"/>
  <c r="M43" i="27"/>
  <c r="N43" i="27"/>
  <c r="O43" i="27"/>
  <c r="P43" i="27"/>
  <c r="Q43" i="27"/>
  <c r="R43" i="27"/>
  <c r="S43" i="27"/>
  <c r="B29" i="27"/>
  <c r="H189" i="18"/>
  <c r="H44" i="26"/>
  <c r="I44" i="26"/>
  <c r="J44" i="26"/>
  <c r="K44" i="26"/>
  <c r="L44" i="26"/>
  <c r="M44" i="26"/>
  <c r="N44" i="26"/>
  <c r="O44" i="26"/>
  <c r="P44" i="26"/>
  <c r="Q44" i="26"/>
  <c r="R44" i="26"/>
  <c r="S44" i="26"/>
  <c r="B31" i="26"/>
  <c r="H158" i="18"/>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B29" i="26"/>
  <c r="H156" i="18"/>
  <c r="H40" i="25"/>
  <c r="I40" i="25"/>
  <c r="J40" i="25"/>
  <c r="K40" i="25"/>
  <c r="H44" i="25"/>
  <c r="I35" i="25"/>
  <c r="I44" i="25"/>
  <c r="J35" i="25"/>
  <c r="J44" i="25"/>
  <c r="K35" i="25"/>
  <c r="K44" i="25"/>
  <c r="L44" i="25"/>
  <c r="M44" i="25"/>
  <c r="N44" i="25"/>
  <c r="O44" i="25"/>
  <c r="P44" i="25"/>
  <c r="Q44" i="25"/>
  <c r="R44" i="25"/>
  <c r="S44" i="25"/>
  <c r="B31" i="25"/>
  <c r="H125" i="18"/>
  <c r="H39" i="25"/>
  <c r="I39" i="25"/>
  <c r="J39" i="25"/>
  <c r="K39" i="25"/>
  <c r="H43" i="25"/>
  <c r="I43" i="25"/>
  <c r="J43" i="25"/>
  <c r="K43" i="25"/>
  <c r="L43" i="25"/>
  <c r="M43" i="25"/>
  <c r="N43" i="25"/>
  <c r="O43" i="25"/>
  <c r="P43" i="25"/>
  <c r="Q43" i="25"/>
  <c r="R43" i="25"/>
  <c r="S43" i="25"/>
  <c r="B30" i="25"/>
  <c r="H124" i="18"/>
  <c r="H38" i="25"/>
  <c r="I38" i="25"/>
  <c r="J38" i="25"/>
  <c r="K38" i="25"/>
  <c r="H42" i="25"/>
  <c r="I42" i="25"/>
  <c r="J42" i="25"/>
  <c r="K42" i="25"/>
  <c r="L42" i="25"/>
  <c r="M42" i="25"/>
  <c r="N42" i="25"/>
  <c r="O42" i="25"/>
  <c r="P42" i="25"/>
  <c r="Q42" i="25"/>
  <c r="R42" i="25"/>
  <c r="S42" i="25"/>
  <c r="B29" i="25"/>
  <c r="H123" i="18"/>
  <c r="H41" i="24"/>
  <c r="I41" i="24"/>
  <c r="J41" i="24"/>
  <c r="K41" i="24"/>
  <c r="H45" i="24"/>
  <c r="I36" i="24"/>
  <c r="I45" i="24"/>
  <c r="J36" i="24"/>
  <c r="J45" i="24"/>
  <c r="K36" i="24"/>
  <c r="K45" i="24"/>
  <c r="L45" i="24"/>
  <c r="M45" i="24"/>
  <c r="N45" i="24"/>
  <c r="O45" i="24"/>
  <c r="P45" i="24"/>
  <c r="Q45" i="24"/>
  <c r="R45" i="24"/>
  <c r="S45" i="24"/>
  <c r="B31" i="24"/>
  <c r="H92" i="18"/>
  <c r="H40" i="24"/>
  <c r="I40" i="24"/>
  <c r="J40" i="24"/>
  <c r="K40" i="24"/>
  <c r="H44" i="24"/>
  <c r="I44" i="24"/>
  <c r="J44" i="24"/>
  <c r="K44" i="24"/>
  <c r="L44" i="24"/>
  <c r="M44" i="24"/>
  <c r="N44" i="24"/>
  <c r="O44" i="24"/>
  <c r="P44" i="24"/>
  <c r="Q44" i="24"/>
  <c r="R44" i="24"/>
  <c r="S44" i="24"/>
  <c r="B30" i="24"/>
  <c r="H91" i="18"/>
  <c r="H39" i="24"/>
  <c r="I39" i="24"/>
  <c r="J39" i="24"/>
  <c r="K39" i="24"/>
  <c r="H43" i="24"/>
  <c r="I43" i="24"/>
  <c r="J43" i="24"/>
  <c r="K43" i="24"/>
  <c r="L43" i="24"/>
  <c r="M43" i="24"/>
  <c r="N43" i="24"/>
  <c r="O43" i="24"/>
  <c r="P43" i="24"/>
  <c r="Q43" i="24"/>
  <c r="R43" i="24"/>
  <c r="S43" i="24"/>
  <c r="B29" i="24"/>
  <c r="H90" i="18"/>
  <c r="H41" i="22"/>
  <c r="I41" i="22"/>
  <c r="J41" i="22"/>
  <c r="K41" i="22"/>
  <c r="H45" i="22"/>
  <c r="I45" i="22"/>
  <c r="J45" i="22"/>
  <c r="K45" i="22"/>
  <c r="L45" i="22"/>
  <c r="M45" i="22"/>
  <c r="N45" i="22"/>
  <c r="O45" i="22"/>
  <c r="P45" i="22"/>
  <c r="Q45" i="22"/>
  <c r="R45" i="22"/>
  <c r="S45" i="22"/>
  <c r="B31" i="22"/>
  <c r="H59" i="18"/>
  <c r="H40" i="22"/>
  <c r="I40" i="22"/>
  <c r="J40" i="22"/>
  <c r="K40" i="22"/>
  <c r="H44" i="22"/>
  <c r="I44" i="22"/>
  <c r="J44" i="22"/>
  <c r="K44" i="22"/>
  <c r="L44" i="22"/>
  <c r="M44" i="22"/>
  <c r="N44" i="22"/>
  <c r="O44" i="22"/>
  <c r="P44" i="22"/>
  <c r="Q44" i="22"/>
  <c r="R44" i="22"/>
  <c r="S44" i="22"/>
  <c r="B30" i="22"/>
  <c r="H58" i="18"/>
  <c r="H39" i="22"/>
  <c r="I39" i="22"/>
  <c r="J39" i="22"/>
  <c r="K39" i="22"/>
  <c r="H43" i="22"/>
  <c r="I43" i="22"/>
  <c r="J43" i="22"/>
  <c r="K43" i="22"/>
  <c r="L43" i="22"/>
  <c r="M43" i="22"/>
  <c r="N43" i="22"/>
  <c r="O43" i="22"/>
  <c r="P43" i="22"/>
  <c r="Q43" i="22"/>
  <c r="R43" i="22"/>
  <c r="S43" i="22"/>
  <c r="B29" i="22"/>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B27" i="26"/>
  <c r="H155" i="18"/>
  <c r="B26" i="26"/>
  <c r="H154" i="18"/>
  <c r="B27" i="25"/>
  <c r="H122" i="18"/>
  <c r="B26" i="25"/>
  <c r="H121" i="18"/>
  <c r="B27" i="24"/>
  <c r="H89" i="18"/>
  <c r="B26" i="24"/>
  <c r="H88" i="18"/>
  <c r="B27" i="22"/>
  <c r="H56" i="18"/>
  <c r="B26" i="22"/>
  <c r="H55" i="18"/>
  <c r="B25" i="22"/>
  <c r="H54" i="18"/>
  <c r="B26" i="21"/>
  <c r="H22" i="18"/>
  <c r="F22" i="18"/>
  <c r="B27" i="21"/>
  <c r="H23" i="18"/>
  <c r="F23" i="18"/>
  <c r="B18" i="9"/>
  <c r="B25" i="21"/>
  <c r="H21" i="18"/>
  <c r="F21" i="18"/>
  <c r="M29" i="18"/>
  <c r="M30" i="18"/>
  <c r="M31" i="18"/>
  <c r="M32" i="18"/>
  <c r="M33" i="18"/>
  <c r="M28" i="18"/>
  <c r="C8" i="9"/>
  <c r="B8" i="9"/>
  <c r="C5" i="9"/>
  <c r="B25" i="31"/>
  <c r="B25" i="30"/>
  <c r="B25" i="29"/>
  <c r="B25" i="28"/>
  <c r="B25" i="27"/>
  <c r="B25" i="26"/>
  <c r="B25" i="25"/>
  <c r="B25" i="24"/>
  <c r="H45" i="21"/>
  <c r="L45" i="21"/>
  <c r="M45" i="21"/>
  <c r="N45" i="21"/>
  <c r="O45" i="21"/>
  <c r="P45" i="21"/>
  <c r="Q45" i="21"/>
  <c r="R45" i="21"/>
  <c r="S45" i="21"/>
  <c r="B31" i="21"/>
  <c r="H44" i="21"/>
  <c r="L44" i="21"/>
  <c r="M44" i="21"/>
  <c r="N44" i="21"/>
  <c r="O44" i="21"/>
  <c r="P44" i="21"/>
  <c r="Q44" i="21"/>
  <c r="R44" i="21"/>
  <c r="S44" i="21"/>
  <c r="B30" i="21"/>
  <c r="H43" i="21"/>
  <c r="L43" i="21"/>
  <c r="M43" i="21"/>
  <c r="N43" i="21"/>
  <c r="O43" i="21"/>
  <c r="P43" i="21"/>
  <c r="Q43" i="21"/>
  <c r="R43" i="21"/>
  <c r="S43" i="21"/>
  <c r="B29" i="21"/>
  <c r="AF62" i="18"/>
  <c r="AG62" i="18"/>
  <c r="AF63" i="18"/>
  <c r="AG63" i="18"/>
  <c r="H51" i="22"/>
  <c r="I51" i="22"/>
  <c r="J51" i="22"/>
  <c r="K51" i="22"/>
  <c r="L51" i="22"/>
  <c r="M51" i="22"/>
  <c r="N51" i="22"/>
  <c r="O51" i="22"/>
  <c r="P51" i="22"/>
  <c r="Q51" i="22"/>
  <c r="R51" i="22"/>
  <c r="S51" i="22"/>
  <c r="B48" i="22"/>
  <c r="F50" i="18"/>
  <c r="AJ61" i="18"/>
  <c r="AJ63" i="18"/>
  <c r="AL61" i="18"/>
  <c r="AL63" i="18"/>
  <c r="H52" i="22"/>
  <c r="I52" i="22"/>
  <c r="J52" i="22"/>
  <c r="K52" i="22"/>
  <c r="L52" i="22"/>
  <c r="M52" i="22"/>
  <c r="N52" i="22"/>
  <c r="O52" i="22"/>
  <c r="P52" i="22"/>
  <c r="Q52" i="22"/>
  <c r="R52" i="22"/>
  <c r="S52" i="22"/>
  <c r="B49" i="22"/>
  <c r="F51" i="18"/>
  <c r="AO61" i="18"/>
  <c r="AO62" i="18"/>
  <c r="AP61" i="18"/>
  <c r="AP62" i="18"/>
  <c r="H53" i="22"/>
  <c r="I53" i="22"/>
  <c r="J53" i="22"/>
  <c r="K53" i="22"/>
  <c r="L53" i="22"/>
  <c r="M53" i="22"/>
  <c r="N53" i="22"/>
  <c r="O53" i="22"/>
  <c r="P53" i="22"/>
  <c r="Q53" i="22"/>
  <c r="R53" i="22"/>
  <c r="S53" i="22"/>
  <c r="B50" i="22"/>
  <c r="F52" i="18"/>
  <c r="B45" i="22"/>
  <c r="F47" i="18"/>
  <c r="O48" i="18"/>
  <c r="B46" i="22"/>
  <c r="F48" i="18"/>
  <c r="O49" i="18"/>
  <c r="B47" i="22"/>
  <c r="F49" i="18"/>
  <c r="O50" i="18"/>
  <c r="AF95" i="18"/>
  <c r="AG95" i="18"/>
  <c r="AF96" i="18"/>
  <c r="AG96" i="18"/>
  <c r="B48" i="24"/>
  <c r="F83" i="18"/>
  <c r="AJ94" i="18"/>
  <c r="AJ96" i="18"/>
  <c r="AL94" i="18"/>
  <c r="AL96" i="18"/>
  <c r="B49" i="24"/>
  <c r="F84" i="18"/>
  <c r="AO94" i="18"/>
  <c r="AO95" i="18"/>
  <c r="AP94" i="18"/>
  <c r="AP95" i="18"/>
  <c r="B50" i="24"/>
  <c r="F85" i="18"/>
  <c r="B45" i="24"/>
  <c r="F80" i="18"/>
  <c r="O81" i="18"/>
  <c r="B46" i="24"/>
  <c r="F81" i="18"/>
  <c r="O82" i="18"/>
  <c r="B47" i="24"/>
  <c r="F82" i="18"/>
  <c r="O83" i="18"/>
  <c r="AF128" i="18"/>
  <c r="AG128" i="18"/>
  <c r="AF129" i="18"/>
  <c r="AG129" i="18"/>
  <c r="B48" i="25"/>
  <c r="F116" i="18"/>
  <c r="AJ127" i="18"/>
  <c r="AJ129" i="18"/>
  <c r="AL127" i="18"/>
  <c r="AL129" i="18"/>
  <c r="B49" i="25"/>
  <c r="F117" i="18"/>
  <c r="AO127" i="18"/>
  <c r="AO128" i="18"/>
  <c r="AP127" i="18"/>
  <c r="AP128" i="18"/>
  <c r="B50" i="25"/>
  <c r="F118" i="18"/>
  <c r="B45" i="25"/>
  <c r="F113" i="18"/>
  <c r="O114" i="18"/>
  <c r="B46" i="25"/>
  <c r="F114" i="18"/>
  <c r="O115" i="18"/>
  <c r="B47" i="25"/>
  <c r="F115" i="18"/>
  <c r="O116" i="18"/>
  <c r="AF161" i="18"/>
  <c r="AG161" i="18"/>
  <c r="AF162" i="18"/>
  <c r="AG162" i="18"/>
  <c r="B48" i="26"/>
  <c r="F149" i="18"/>
  <c r="AJ160" i="18"/>
  <c r="AJ162" i="18"/>
  <c r="AL160" i="18"/>
  <c r="AL162" i="18"/>
  <c r="B49" i="26"/>
  <c r="F150" i="18"/>
  <c r="AO160" i="18"/>
  <c r="AO161" i="18"/>
  <c r="AP160" i="18"/>
  <c r="AP161" i="18"/>
  <c r="B50" i="26"/>
  <c r="F151" i="18"/>
  <c r="B45" i="26"/>
  <c r="F146" i="18"/>
  <c r="O147" i="18"/>
  <c r="B46" i="26"/>
  <c r="F147" i="18"/>
  <c r="O148" i="18"/>
  <c r="B47" i="26"/>
  <c r="F148" i="18"/>
  <c r="O149" i="18"/>
  <c r="AF194" i="18"/>
  <c r="AG194" i="18"/>
  <c r="AF195" i="18"/>
  <c r="AG195" i="18"/>
  <c r="B48" i="27"/>
  <c r="F182" i="18"/>
  <c r="AJ193" i="18"/>
  <c r="AJ195" i="18"/>
  <c r="AL193" i="18"/>
  <c r="AL195" i="18"/>
  <c r="B49" i="27"/>
  <c r="F183" i="18"/>
  <c r="AO193" i="18"/>
  <c r="AO194" i="18"/>
  <c r="AP193" i="18"/>
  <c r="AP194" i="18"/>
  <c r="B50" i="27"/>
  <c r="F184" i="18"/>
  <c r="B45" i="27"/>
  <c r="F179" i="18"/>
  <c r="O180" i="18"/>
  <c r="B46" i="27"/>
  <c r="F180" i="18"/>
  <c r="O181" i="18"/>
  <c r="B47" i="27"/>
  <c r="F181" i="18"/>
  <c r="O182" i="18"/>
  <c r="AF227" i="18"/>
  <c r="AG227" i="18"/>
  <c r="AF228" i="18"/>
  <c r="AG228" i="18"/>
  <c r="B48" i="28"/>
  <c r="F215" i="18"/>
  <c r="AJ226" i="18"/>
  <c r="AJ228" i="18"/>
  <c r="AL226" i="18"/>
  <c r="AL228" i="18"/>
  <c r="B49" i="28"/>
  <c r="F216" i="18"/>
  <c r="AO226" i="18"/>
  <c r="AO227" i="18"/>
  <c r="AP226" i="18"/>
  <c r="AP227" i="18"/>
  <c r="B50" i="28"/>
  <c r="F217" i="18"/>
  <c r="B45" i="28"/>
  <c r="F212" i="18"/>
  <c r="O213" i="18"/>
  <c r="B46" i="28"/>
  <c r="F213" i="18"/>
  <c r="O214" i="18"/>
  <c r="B47" i="28"/>
  <c r="F214" i="18"/>
  <c r="O215" i="18"/>
  <c r="AF260" i="18"/>
  <c r="AG260" i="18"/>
  <c r="AF261" i="18"/>
  <c r="AG261" i="18"/>
  <c r="B48" i="29"/>
  <c r="F248" i="18"/>
  <c r="AJ259" i="18"/>
  <c r="AJ261" i="18"/>
  <c r="AL259" i="18"/>
  <c r="AL261" i="18"/>
  <c r="B49" i="29"/>
  <c r="F249" i="18"/>
  <c r="AO259" i="18"/>
  <c r="AO260" i="18"/>
  <c r="AP259" i="18"/>
  <c r="AP260" i="18"/>
  <c r="B50" i="29"/>
  <c r="F250" i="18"/>
  <c r="B45" i="29"/>
  <c r="F245" i="18"/>
  <c r="O246" i="18"/>
  <c r="B46" i="29"/>
  <c r="F246" i="18"/>
  <c r="O247" i="18"/>
  <c r="B47" i="29"/>
  <c r="F247" i="18"/>
  <c r="O248" i="18"/>
  <c r="AF293" i="18"/>
  <c r="AG293" i="18"/>
  <c r="AF294" i="18"/>
  <c r="AG294" i="18"/>
  <c r="B48" i="30"/>
  <c r="F281" i="18"/>
  <c r="AJ292" i="18"/>
  <c r="AJ294" i="18"/>
  <c r="AL292" i="18"/>
  <c r="AL294" i="18"/>
  <c r="B49" i="30"/>
  <c r="F282" i="18"/>
  <c r="AO292" i="18"/>
  <c r="AO293" i="18"/>
  <c r="AP292" i="18"/>
  <c r="AP293" i="18"/>
  <c r="B50" i="30"/>
  <c r="F283" i="18"/>
  <c r="B45" i="30"/>
  <c r="F278" i="18"/>
  <c r="O279" i="18"/>
  <c r="B46" i="30"/>
  <c r="F279" i="18"/>
  <c r="O280" i="18"/>
  <c r="B47" i="30"/>
  <c r="F280" i="18"/>
  <c r="O281" i="18"/>
  <c r="AF326" i="18"/>
  <c r="AG326" i="18"/>
  <c r="AF327" i="18"/>
  <c r="AG327" i="18"/>
  <c r="B48" i="31"/>
  <c r="F314" i="18"/>
  <c r="AJ325" i="18"/>
  <c r="AJ327" i="18"/>
  <c r="AL325" i="18"/>
  <c r="AL327" i="18"/>
  <c r="B49" i="31"/>
  <c r="F315" i="18"/>
  <c r="AO325" i="18"/>
  <c r="AO326" i="18"/>
  <c r="AP325" i="18"/>
  <c r="AP326" i="18"/>
  <c r="B50" i="31"/>
  <c r="F316" i="18"/>
  <c r="B45" i="31"/>
  <c r="F311" i="18"/>
  <c r="O312" i="18"/>
  <c r="B46" i="31"/>
  <c r="F312" i="18"/>
  <c r="O313" i="18"/>
  <c r="B47" i="31"/>
  <c r="F313" i="18"/>
  <c r="O314" i="18"/>
  <c r="B45" i="21"/>
  <c r="F14" i="18"/>
  <c r="O15" i="18"/>
  <c r="B48" i="21"/>
  <c r="F17" i="18"/>
  <c r="AF29" i="18"/>
  <c r="AG29" i="18"/>
  <c r="AF30" i="18"/>
  <c r="AG30" i="18"/>
  <c r="AC28" i="18"/>
  <c r="AC29" i="18"/>
  <c r="AC30" i="18"/>
  <c r="AU28" i="18" a="1"/>
  <c r="AU28" i="18"/>
  <c r="AV28" i="18"/>
  <c r="AW28" i="18"/>
  <c r="O29" i="18"/>
  <c r="P15" i="18"/>
  <c r="B49" i="21"/>
  <c r="F18" i="18"/>
  <c r="AJ28" i="18"/>
  <c r="AJ30" i="18"/>
  <c r="AL28" i="18"/>
  <c r="AL30" i="18"/>
  <c r="AZ28" i="18" a="1"/>
  <c r="AZ28" i="18"/>
  <c r="BA28" i="18"/>
  <c r="BB28" i="18"/>
  <c r="P29" i="18"/>
  <c r="Q15" i="18"/>
  <c r="B50" i="21"/>
  <c r="F19" i="18"/>
  <c r="AO28" i="18"/>
  <c r="AO29" i="18"/>
  <c r="AP28" i="18"/>
  <c r="AP29" i="18"/>
  <c r="BE28" i="18" a="1"/>
  <c r="BE28" i="18"/>
  <c r="BF28" i="18"/>
  <c r="BG28" i="18"/>
  <c r="Q29" i="18"/>
  <c r="R15" i="18"/>
  <c r="B46" i="21"/>
  <c r="F15" i="18"/>
  <c r="O16" i="18"/>
  <c r="AU29" i="18"/>
  <c r="AV29" i="18"/>
  <c r="AW29" i="18"/>
  <c r="O30" i="18"/>
  <c r="P16" i="18"/>
  <c r="AZ29" i="18"/>
  <c r="BA29" i="18"/>
  <c r="BB29" i="18"/>
  <c r="P30" i="18"/>
  <c r="Q16" i="18"/>
  <c r="BE29" i="18"/>
  <c r="BF29" i="18"/>
  <c r="BG29" i="18"/>
  <c r="Q30" i="18"/>
  <c r="R16" i="18"/>
  <c r="B47" i="21"/>
  <c r="F16" i="18"/>
  <c r="O17" i="18"/>
  <c r="AU30" i="18"/>
  <c r="AV30" i="18"/>
  <c r="AW30" i="18"/>
  <c r="O31" i="18"/>
  <c r="P17" i="18"/>
  <c r="AZ30" i="18"/>
  <c r="BA30" i="18"/>
  <c r="BB30" i="18"/>
  <c r="P31" i="18"/>
  <c r="Q17" i="18"/>
  <c r="BE30" i="18"/>
  <c r="BF30" i="18"/>
  <c r="BG30" i="18"/>
  <c r="Q31" i="18"/>
  <c r="R17" i="18"/>
  <c r="A17" i="18"/>
  <c r="A27" i="7"/>
  <c r="A34" i="7"/>
  <c r="A41" i="7"/>
  <c r="A48" i="7"/>
  <c r="A55" i="7"/>
  <c r="A62" i="7"/>
  <c r="A69" i="7"/>
  <c r="A76" i="7"/>
  <c r="A83" i="7"/>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I30" i="24"/>
  <c r="J30" i="24"/>
  <c r="K30" i="24"/>
  <c r="L30" i="24"/>
  <c r="M30" i="24"/>
  <c r="N30" i="24"/>
  <c r="O30" i="24"/>
  <c r="P30" i="24"/>
  <c r="Q30" i="24"/>
  <c r="R30" i="24"/>
  <c r="S30" i="24"/>
  <c r="H122" i="22"/>
  <c r="H123" i="22"/>
  <c r="H117" i="22"/>
  <c r="H118" i="22"/>
  <c r="H112" i="22"/>
  <c r="H113" i="22"/>
  <c r="S61" i="22"/>
  <c r="R61" i="22"/>
  <c r="Q61" i="22"/>
  <c r="P61" i="22"/>
  <c r="O61" i="22"/>
  <c r="N61" i="22"/>
  <c r="M61" i="22"/>
  <c r="L61" i="22"/>
  <c r="K61" i="22"/>
  <c r="J61" i="22"/>
  <c r="I61" i="22"/>
  <c r="H61" i="22"/>
  <c r="S60" i="22"/>
  <c r="R60" i="22"/>
  <c r="Q60" i="22"/>
  <c r="P60" i="22"/>
  <c r="O60" i="22"/>
  <c r="N60" i="22"/>
  <c r="M60" i="22"/>
  <c r="L60" i="22"/>
  <c r="K60" i="22"/>
  <c r="J60" i="22"/>
  <c r="I60" i="22"/>
  <c r="H60" i="22"/>
  <c r="S59" i="22"/>
  <c r="R59" i="22"/>
  <c r="Q59" i="22"/>
  <c r="P59" i="22"/>
  <c r="O59" i="22"/>
  <c r="N59" i="22"/>
  <c r="M59" i="22"/>
  <c r="L59" i="22"/>
  <c r="K59" i="22"/>
  <c r="J59" i="22"/>
  <c r="I59" i="22"/>
  <c r="H59" i="22"/>
  <c r="I30" i="22"/>
  <c r="J30" i="22"/>
  <c r="K30" i="22"/>
  <c r="L30" i="22"/>
  <c r="M30" i="22"/>
  <c r="N30" i="22"/>
  <c r="O30" i="22"/>
  <c r="P30" i="22"/>
  <c r="Q30" i="22"/>
  <c r="R30" i="22"/>
  <c r="S30" i="22"/>
  <c r="B8" i="34"/>
  <c r="B6" i="34"/>
  <c r="B12" i="34"/>
  <c r="B16" i="34"/>
  <c r="B13" i="34"/>
  <c r="B17" i="34"/>
  <c r="B7" i="34"/>
  <c r="B11" i="34"/>
  <c r="B15" i="34"/>
  <c r="D18" i="8"/>
  <c r="D17" i="8"/>
  <c r="B23" i="8"/>
  <c r="D6" i="8"/>
  <c r="D12" i="8"/>
  <c r="B20" i="8"/>
  <c r="D8" i="8"/>
  <c r="B22" i="8"/>
  <c r="B57" i="31"/>
  <c r="B56" i="31"/>
  <c r="B55" i="31"/>
  <c r="B54" i="31"/>
  <c r="B53" i="31"/>
  <c r="B52" i="31"/>
  <c r="B57" i="30"/>
  <c r="B56" i="30"/>
  <c r="B55" i="30"/>
  <c r="B54" i="30"/>
  <c r="B53" i="30"/>
  <c r="B52" i="30"/>
  <c r="B57" i="29"/>
  <c r="B56" i="29"/>
  <c r="B55" i="29"/>
  <c r="B54" i="29"/>
  <c r="B53" i="29"/>
  <c r="B52" i="29"/>
  <c r="B57" i="28"/>
  <c r="B56" i="28"/>
  <c r="B55" i="28"/>
  <c r="B54" i="28"/>
  <c r="B53" i="28"/>
  <c r="B52" i="28"/>
  <c r="B57" i="27"/>
  <c r="B56" i="27"/>
  <c r="B55" i="27"/>
  <c r="B54" i="27"/>
  <c r="B53" i="27"/>
  <c r="B52" i="27"/>
  <c r="B57" i="26"/>
  <c r="B56" i="26"/>
  <c r="B55" i="26"/>
  <c r="B54" i="26"/>
  <c r="B53" i="26"/>
  <c r="B52" i="26"/>
  <c r="B57" i="25"/>
  <c r="B56" i="25"/>
  <c r="B55" i="25"/>
  <c r="B54" i="25"/>
  <c r="B53" i="25"/>
  <c r="B52" i="25"/>
  <c r="B57" i="24"/>
  <c r="B56" i="24"/>
  <c r="B55" i="24"/>
  <c r="B54" i="24"/>
  <c r="B53" i="24"/>
  <c r="B52" i="24"/>
  <c r="B57" i="22"/>
  <c r="B56" i="22"/>
  <c r="B55" i="22"/>
  <c r="B54" i="22"/>
  <c r="B53" i="22"/>
  <c r="B52" i="22"/>
  <c r="B56" i="21"/>
  <c r="B57" i="21"/>
  <c r="B55" i="21"/>
  <c r="B53" i="21"/>
  <c r="B54" i="21"/>
  <c r="B52" i="21"/>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H26" i="18"/>
  <c r="H25" i="18"/>
  <c r="H24"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21" i="33"/>
  <c r="A22" i="33"/>
  <c r="A23" i="33"/>
  <c r="A24" i="33"/>
  <c r="A25" i="33"/>
  <c r="A26" i="33"/>
  <c r="A27" i="33"/>
  <c r="A28" i="33"/>
  <c r="A29" i="33"/>
  <c r="A30" i="33"/>
  <c r="A31" i="33"/>
  <c r="A32" i="33"/>
  <c r="A33" i="33"/>
  <c r="A34" i="33"/>
  <c r="A35" i="33"/>
  <c r="A36" i="33"/>
  <c r="A37" i="33"/>
  <c r="B14" i="7"/>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5"/>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61"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T15" i="18" a="1"/>
  <c r="T15" i="18"/>
  <c r="G26" i="7"/>
  <c r="U15" i="18"/>
  <c r="H26" i="7"/>
  <c r="V15" i="18"/>
  <c r="I26" i="7"/>
  <c r="W15" i="18"/>
  <c r="J26" i="7"/>
  <c r="C26" i="7"/>
  <c r="T16" i="18"/>
  <c r="G27" i="7"/>
  <c r="U16" i="18"/>
  <c r="H27" i="7"/>
  <c r="V16" i="18"/>
  <c r="I27" i="7"/>
  <c r="W16" i="18"/>
  <c r="J27" i="7"/>
  <c r="C27" i="7"/>
  <c r="T17" i="18"/>
  <c r="G28" i="7"/>
  <c r="U17" i="18"/>
  <c r="H28" i="7"/>
  <c r="V17" i="18"/>
  <c r="I28" i="7"/>
  <c r="W17" i="18"/>
  <c r="J28" i="7"/>
  <c r="C28" i="7"/>
  <c r="W18" i="18"/>
  <c r="V18" i="18"/>
  <c r="U18" i="18"/>
  <c r="T18" i="18"/>
  <c r="F28" i="18" a="1"/>
  <c r="F28" i="18"/>
  <c r="Y15" i="18"/>
  <c r="F29" i="18"/>
  <c r="Y16" i="18"/>
  <c r="F30" i="18"/>
  <c r="Y17" i="18"/>
  <c r="Y22" i="18" a="1"/>
  <c r="Y22" i="18"/>
  <c r="Q26" i="7"/>
  <c r="Y23" i="18"/>
  <c r="Q27" i="7"/>
  <c r="Y24" i="18"/>
  <c r="Q28" i="7"/>
  <c r="Y25" i="18"/>
  <c r="F33" i="18"/>
  <c r="F32" i="18"/>
  <c r="F31" i="18"/>
  <c r="C61" i="18" a="1"/>
  <c r="C61" i="18"/>
  <c r="E70" i="18"/>
  <c r="C62" i="18"/>
  <c r="E71" i="18"/>
  <c r="C63" i="18"/>
  <c r="E72" i="18"/>
  <c r="C94" i="18" a="1"/>
  <c r="C94" i="18"/>
  <c r="E103" i="18"/>
  <c r="C95" i="18"/>
  <c r="E104" i="18"/>
  <c r="C96" i="18"/>
  <c r="E105" i="18"/>
  <c r="C127" i="18" a="1"/>
  <c r="C127" i="18"/>
  <c r="E136" i="18"/>
  <c r="C128" i="18"/>
  <c r="E137" i="18"/>
  <c r="C129" i="18"/>
  <c r="E138" i="18"/>
  <c r="C160" i="18" a="1"/>
  <c r="C160" i="18"/>
  <c r="E169" i="18"/>
  <c r="F153" i="18"/>
  <c r="F120" i="18"/>
  <c r="C65" i="18" a="1"/>
  <c r="C65" i="18"/>
  <c r="E74" i="18"/>
  <c r="C66" i="18"/>
  <c r="E75" i="18"/>
  <c r="C67" i="18"/>
  <c r="E76" i="18"/>
  <c r="C98" i="18" a="1"/>
  <c r="C98" i="18"/>
  <c r="E107" i="18"/>
  <c r="C99" i="18"/>
  <c r="E108" i="18"/>
  <c r="C100" i="18"/>
  <c r="E109" i="18"/>
  <c r="C131" i="18" a="1"/>
  <c r="C133" i="18"/>
  <c r="E142" i="18"/>
  <c r="C132" i="18"/>
  <c r="E141" i="18"/>
  <c r="C131" i="18"/>
  <c r="E140" i="18"/>
  <c r="C162" i="18"/>
  <c r="E171" i="18"/>
  <c r="F155" i="18"/>
  <c r="C161" i="18"/>
  <c r="E170" i="18"/>
  <c r="F154" i="18"/>
  <c r="F54" i="18"/>
  <c r="F56" i="18"/>
  <c r="F55" i="18"/>
  <c r="C193" i="18" a="1"/>
  <c r="C193" i="18"/>
  <c r="E202" i="18"/>
  <c r="C194" i="18"/>
  <c r="E203" i="18"/>
  <c r="C195" i="18"/>
  <c r="E204" i="18"/>
  <c r="C226" i="18" a="1"/>
  <c r="C226" i="18"/>
  <c r="E235" i="18"/>
  <c r="C227" i="18"/>
  <c r="E236" i="18"/>
  <c r="C228" i="18"/>
  <c r="E237" i="18"/>
  <c r="C259" i="18" a="1"/>
  <c r="C259" i="18"/>
  <c r="E268" i="18"/>
  <c r="C260" i="18"/>
  <c r="E269" i="18"/>
  <c r="C261" i="18"/>
  <c r="E270" i="18"/>
  <c r="C292" i="18" a="1"/>
  <c r="C292" i="18"/>
  <c r="E301" i="18"/>
  <c r="C293" i="18"/>
  <c r="E302" i="18"/>
  <c r="C294" i="18"/>
  <c r="E303" i="18"/>
  <c r="C325" i="18" a="1"/>
  <c r="C325" i="18"/>
  <c r="E334" i="18"/>
  <c r="F318" i="18"/>
  <c r="F285" i="18"/>
  <c r="C164" i="18" a="1"/>
  <c r="C164" i="18"/>
  <c r="E173" i="18"/>
  <c r="C165" i="18"/>
  <c r="E174" i="18"/>
  <c r="C166" i="18"/>
  <c r="E175" i="18"/>
  <c r="C197" i="18" a="1"/>
  <c r="C197" i="18"/>
  <c r="E206" i="18"/>
  <c r="C198" i="18"/>
  <c r="E207" i="18"/>
  <c r="C199" i="18"/>
  <c r="E208" i="18"/>
  <c r="C230" i="18" a="1"/>
  <c r="C230" i="18"/>
  <c r="E239" i="18"/>
  <c r="C231" i="18"/>
  <c r="E240" i="18"/>
  <c r="C232" i="18"/>
  <c r="E241" i="18"/>
  <c r="C263" i="18" a="1"/>
  <c r="C263" i="18"/>
  <c r="E272" i="18"/>
  <c r="C264" i="18"/>
  <c r="E273" i="18"/>
  <c r="C265" i="18"/>
  <c r="E274" i="18"/>
  <c r="C296" i="18" a="1"/>
  <c r="C298" i="18"/>
  <c r="E307" i="18"/>
  <c r="C297" i="18"/>
  <c r="E306" i="18"/>
  <c r="C296" i="18"/>
  <c r="E305" i="18"/>
  <c r="F252" i="18"/>
  <c r="F219" i="18"/>
  <c r="F186" i="18"/>
  <c r="F87" i="18"/>
  <c r="F88" i="18"/>
  <c r="F89" i="18"/>
  <c r="F121" i="18"/>
  <c r="F122" i="18"/>
  <c r="F187" i="18"/>
  <c r="F188" i="18"/>
  <c r="F220" i="18"/>
  <c r="F221" i="18"/>
  <c r="F253" i="18"/>
  <c r="F254" i="18"/>
  <c r="F286" i="18"/>
  <c r="F287" i="18"/>
  <c r="C326" i="18"/>
  <c r="E335" i="18"/>
  <c r="F319" i="18"/>
  <c r="C327" i="18"/>
  <c r="E336" i="18"/>
  <c r="F320" i="18"/>
  <c r="M163" i="18"/>
  <c r="M164" i="18"/>
  <c r="M165" i="18"/>
  <c r="M162" i="18"/>
  <c r="M161" i="18"/>
  <c r="M160" i="18"/>
  <c r="C328" i="18"/>
  <c r="C295" i="18"/>
  <c r="C262" i="18"/>
  <c r="C229" i="18"/>
  <c r="C196" i="18"/>
  <c r="C163" i="18"/>
  <c r="C130" i="18"/>
  <c r="C97" i="18"/>
  <c r="C64" i="18"/>
  <c r="C299" i="18"/>
  <c r="C266" i="18"/>
  <c r="C233" i="18"/>
  <c r="C200" i="18"/>
  <c r="C167" i="18"/>
  <c r="C134" i="18"/>
  <c r="C101" i="18"/>
  <c r="C68" i="18"/>
  <c r="C329" i="18" a="1"/>
  <c r="C329" i="18"/>
  <c r="E338" i="18"/>
  <c r="F321" i="18"/>
  <c r="AC33" i="18" a="1"/>
  <c r="AC33" i="18"/>
  <c r="C24" i="18"/>
  <c r="C46" i="18"/>
  <c r="AC61" i="18"/>
  <c r="AC34" i="18"/>
  <c r="C47" i="18"/>
  <c r="AC62" i="18"/>
  <c r="AC35" i="18"/>
  <c r="C26" i="18"/>
  <c r="C48" i="18"/>
  <c r="AC63" i="18"/>
  <c r="AC66" i="18" a="1"/>
  <c r="AC66" i="18"/>
  <c r="C57" i="18"/>
  <c r="C79" i="18"/>
  <c r="AC94" i="18"/>
  <c r="AC67" i="18"/>
  <c r="C58" i="18"/>
  <c r="C80" i="18"/>
  <c r="AC95" i="18"/>
  <c r="AC68" i="18"/>
  <c r="C59" i="18"/>
  <c r="C81" i="18"/>
  <c r="AC96" i="18"/>
  <c r="AC99" i="18" a="1"/>
  <c r="AC99" i="18"/>
  <c r="C90" i="18"/>
  <c r="C112" i="18"/>
  <c r="AC127" i="18"/>
  <c r="AC100" i="18"/>
  <c r="C91" i="18"/>
  <c r="C113" i="18"/>
  <c r="AC128" i="18"/>
  <c r="AC101" i="18"/>
  <c r="C92" i="18"/>
  <c r="C114" i="18"/>
  <c r="AC129" i="18"/>
  <c r="AC132" i="18" a="1"/>
  <c r="AC132" i="18"/>
  <c r="C123" i="18"/>
  <c r="C145" i="18"/>
  <c r="AC160" i="18"/>
  <c r="AC133" i="18"/>
  <c r="C124" i="18"/>
  <c r="C146" i="18"/>
  <c r="AC161" i="18"/>
  <c r="AC134" i="18"/>
  <c r="C125" i="18"/>
  <c r="C147" i="18"/>
  <c r="AC162" i="18"/>
  <c r="AC165" i="18" a="1"/>
  <c r="AC165" i="18"/>
  <c r="C156" i="18"/>
  <c r="C178" i="18"/>
  <c r="AC193" i="18"/>
  <c r="AC166" i="18"/>
  <c r="C157" i="18"/>
  <c r="C179" i="18"/>
  <c r="AC194" i="18"/>
  <c r="AC167" i="18"/>
  <c r="C158" i="18"/>
  <c r="C180" i="18"/>
  <c r="AC195" i="18"/>
  <c r="AC198" i="18" a="1"/>
  <c r="AC198" i="18"/>
  <c r="C189" i="18"/>
  <c r="C211" i="18"/>
  <c r="AC226" i="18"/>
  <c r="AC199" i="18"/>
  <c r="C190" i="18"/>
  <c r="C212" i="18"/>
  <c r="AC227" i="18"/>
  <c r="AC200" i="18"/>
  <c r="C191" i="18"/>
  <c r="C213" i="18"/>
  <c r="AC228" i="18"/>
  <c r="AC231" i="18" a="1"/>
  <c r="AC231" i="18"/>
  <c r="C222" i="18"/>
  <c r="C244" i="18"/>
  <c r="AC259" i="18"/>
  <c r="AC232" i="18"/>
  <c r="C223" i="18"/>
  <c r="C245" i="18"/>
  <c r="AC260" i="18"/>
  <c r="AC233" i="18"/>
  <c r="C224" i="18"/>
  <c r="C246" i="18"/>
  <c r="AC261" i="18"/>
  <c r="AC264" i="18" a="1"/>
  <c r="AC264" i="18"/>
  <c r="C255" i="18"/>
  <c r="C277" i="18"/>
  <c r="AC292" i="18"/>
  <c r="AC265" i="18"/>
  <c r="C256" i="18"/>
  <c r="C278" i="18"/>
  <c r="AC293" i="18"/>
  <c r="AC266" i="18"/>
  <c r="C257" i="18"/>
  <c r="C279" i="18"/>
  <c r="AC294" i="18"/>
  <c r="AC297" i="18" a="1"/>
  <c r="AC297" i="18"/>
  <c r="C288" i="18"/>
  <c r="C310" i="18"/>
  <c r="AC325" i="18"/>
  <c r="AC298" i="18"/>
  <c r="C289" i="18"/>
  <c r="C311" i="18"/>
  <c r="AC326" i="18"/>
  <c r="AC299" i="18"/>
  <c r="C290" i="18"/>
  <c r="C312" i="18"/>
  <c r="AC327" i="18"/>
  <c r="AU325" i="18" a="1"/>
  <c r="AU325" i="18"/>
  <c r="AV325" i="18"/>
  <c r="AW325" i="18"/>
  <c r="O326" i="18"/>
  <c r="Z312" i="18"/>
  <c r="AU326" i="18"/>
  <c r="AV326" i="18"/>
  <c r="AW326" i="18"/>
  <c r="O327" i="18"/>
  <c r="Z313" i="18"/>
  <c r="AU327" i="18"/>
  <c r="AV327" i="18"/>
  <c r="AW327" i="18"/>
  <c r="O328" i="18"/>
  <c r="Z314" i="18"/>
  <c r="Z319" i="18" a="1"/>
  <c r="Z319" i="18"/>
  <c r="R89" i="7"/>
  <c r="C330" i="18"/>
  <c r="E339" i="18"/>
  <c r="F322" i="18"/>
  <c r="AZ325" i="18" a="1"/>
  <c r="AZ325" i="18"/>
  <c r="BA325" i="18"/>
  <c r="BB325" i="18"/>
  <c r="P326" i="18"/>
  <c r="AA312" i="18"/>
  <c r="AZ326" i="18"/>
  <c r="BA326" i="18"/>
  <c r="BB326" i="18"/>
  <c r="P327" i="18"/>
  <c r="AA313" i="18"/>
  <c r="AZ327" i="18"/>
  <c r="BA327" i="18"/>
  <c r="BB327" i="18"/>
  <c r="P328" i="18"/>
  <c r="AA314" i="18"/>
  <c r="AA319" i="18" a="1"/>
  <c r="AA319" i="18"/>
  <c r="S89" i="7"/>
  <c r="C331" i="18"/>
  <c r="E340" i="18"/>
  <c r="F323" i="18"/>
  <c r="BE325" i="18" a="1"/>
  <c r="BE325" i="18"/>
  <c r="BF325" i="18"/>
  <c r="BG325" i="18"/>
  <c r="Q326" i="18"/>
  <c r="AB312" i="18"/>
  <c r="BE326" i="18"/>
  <c r="BF326" i="18"/>
  <c r="BG326" i="18"/>
  <c r="Q327" i="18"/>
  <c r="AB313" i="18"/>
  <c r="BE327" i="18"/>
  <c r="BF327" i="18"/>
  <c r="BG327" i="18"/>
  <c r="Q328" i="18"/>
  <c r="AB314" i="18"/>
  <c r="AB319" i="18" a="1"/>
  <c r="AB319" i="18"/>
  <c r="T89" i="7"/>
  <c r="Z320" i="18"/>
  <c r="R90" i="7"/>
  <c r="AA320" i="18"/>
  <c r="S90" i="7"/>
  <c r="AB320" i="18"/>
  <c r="T90" i="7"/>
  <c r="Z321" i="18"/>
  <c r="R91" i="7"/>
  <c r="Z322" i="18"/>
  <c r="AA321" i="18"/>
  <c r="S91" i="7"/>
  <c r="AA322" i="18"/>
  <c r="AB321" i="18"/>
  <c r="T91" i="7"/>
  <c r="AB322" i="18"/>
  <c r="AC36" i="18"/>
  <c r="AC69" i="18"/>
  <c r="AC102" i="18"/>
  <c r="AC135" i="18"/>
  <c r="AC168" i="18"/>
  <c r="AC201" i="18"/>
  <c r="AC234" i="18"/>
  <c r="AC267" i="18"/>
  <c r="AC300" i="18"/>
  <c r="AU328" i="18"/>
  <c r="AZ328" i="18"/>
  <c r="BE328" i="18"/>
  <c r="AU61" i="18" a="1"/>
  <c r="AU61" i="18"/>
  <c r="AV61" i="18"/>
  <c r="AW61" i="18"/>
  <c r="O62" i="18"/>
  <c r="P48" i="18"/>
  <c r="AZ61" i="18" a="1"/>
  <c r="AZ61" i="18"/>
  <c r="BA61" i="18"/>
  <c r="BB61" i="18"/>
  <c r="P62" i="18"/>
  <c r="Q48" i="18"/>
  <c r="BE61" i="18" a="1"/>
  <c r="BE61" i="18"/>
  <c r="BF61" i="18"/>
  <c r="BG61" i="18"/>
  <c r="Q62" i="18"/>
  <c r="R48" i="18"/>
  <c r="AU62" i="18"/>
  <c r="AV62" i="18"/>
  <c r="AW62" i="18"/>
  <c r="O63" i="18"/>
  <c r="P49" i="18"/>
  <c r="AZ62" i="18"/>
  <c r="BA62" i="18"/>
  <c r="BB62" i="18"/>
  <c r="P63" i="18"/>
  <c r="Q49" i="18"/>
  <c r="BE62" i="18"/>
  <c r="BF62" i="18"/>
  <c r="BG62" i="18"/>
  <c r="Q63" i="18"/>
  <c r="R49" i="18"/>
  <c r="AU63" i="18"/>
  <c r="AV63" i="18"/>
  <c r="AW63" i="18"/>
  <c r="O64" i="18"/>
  <c r="P50" i="18"/>
  <c r="AZ63" i="18"/>
  <c r="BA63" i="18"/>
  <c r="BB63" i="18"/>
  <c r="P64" i="18"/>
  <c r="Q50" i="18"/>
  <c r="BE63" i="18"/>
  <c r="BF63" i="18"/>
  <c r="BG63" i="18"/>
  <c r="Q64" i="18"/>
  <c r="R50" i="18"/>
  <c r="T48" i="18" a="1"/>
  <c r="T48" i="18"/>
  <c r="G33" i="7"/>
  <c r="U48" i="18"/>
  <c r="H33" i="7"/>
  <c r="V48" i="18"/>
  <c r="I33" i="7"/>
  <c r="W48" i="18"/>
  <c r="J33" i="7"/>
  <c r="C33" i="7"/>
  <c r="AU94" i="18" a="1"/>
  <c r="AU94" i="18"/>
  <c r="AV94" i="18"/>
  <c r="AW94" i="18"/>
  <c r="O95" i="18"/>
  <c r="P81" i="18"/>
  <c r="AZ94" i="18" a="1"/>
  <c r="AZ94" i="18"/>
  <c r="BA94" i="18"/>
  <c r="BB94" i="18"/>
  <c r="P95" i="18"/>
  <c r="Q81" i="18"/>
  <c r="BE94" i="18" a="1"/>
  <c r="BE94" i="18"/>
  <c r="BF94" i="18"/>
  <c r="BG94" i="18"/>
  <c r="Q95" i="18"/>
  <c r="R81" i="18"/>
  <c r="AU95" i="18"/>
  <c r="AV95" i="18"/>
  <c r="AW95" i="18"/>
  <c r="O96" i="18"/>
  <c r="P82" i="18"/>
  <c r="AZ95" i="18"/>
  <c r="BA95" i="18"/>
  <c r="BB95" i="18"/>
  <c r="P96" i="18"/>
  <c r="Q82" i="18"/>
  <c r="BE95" i="18"/>
  <c r="BF95" i="18"/>
  <c r="BG95" i="18"/>
  <c r="Q96" i="18"/>
  <c r="R82" i="18"/>
  <c r="AU96" i="18"/>
  <c r="AV96" i="18"/>
  <c r="AW96" i="18"/>
  <c r="O97" i="18"/>
  <c r="P83" i="18"/>
  <c r="AZ96" i="18"/>
  <c r="BA96" i="18"/>
  <c r="BB96" i="18"/>
  <c r="P97" i="18"/>
  <c r="Q83" i="18"/>
  <c r="BE96" i="18"/>
  <c r="BF96" i="18"/>
  <c r="BG96" i="18"/>
  <c r="Q97" i="18"/>
  <c r="R83" i="18"/>
  <c r="T81" i="18" a="1"/>
  <c r="T81" i="18"/>
  <c r="G40" i="7"/>
  <c r="U81" i="18"/>
  <c r="H40" i="7"/>
  <c r="V81" i="18"/>
  <c r="I40" i="7"/>
  <c r="W81" i="18"/>
  <c r="J40" i="7"/>
  <c r="C40" i="7"/>
  <c r="AU127" i="18" a="1"/>
  <c r="AU127" i="18"/>
  <c r="AV127" i="18"/>
  <c r="AW127" i="18"/>
  <c r="O128" i="18"/>
  <c r="P114" i="18"/>
  <c r="AZ127" i="18" a="1"/>
  <c r="AZ127" i="18"/>
  <c r="BA127" i="18"/>
  <c r="BB127" i="18"/>
  <c r="P128" i="18"/>
  <c r="Q114" i="18"/>
  <c r="BE127" i="18" a="1"/>
  <c r="BE127" i="18"/>
  <c r="BF127" i="18"/>
  <c r="BG127" i="18"/>
  <c r="Q128" i="18"/>
  <c r="R114" i="18"/>
  <c r="AU128" i="18"/>
  <c r="AV128" i="18"/>
  <c r="AW128" i="18"/>
  <c r="O129" i="18"/>
  <c r="P115" i="18"/>
  <c r="AZ128" i="18"/>
  <c r="BA128" i="18"/>
  <c r="BB128" i="18"/>
  <c r="P129" i="18"/>
  <c r="Q115" i="18"/>
  <c r="BE128" i="18"/>
  <c r="BF128" i="18"/>
  <c r="BG128" i="18"/>
  <c r="Q129" i="18"/>
  <c r="R115" i="18"/>
  <c r="AU129" i="18"/>
  <c r="AV129" i="18"/>
  <c r="AW129" i="18"/>
  <c r="O130" i="18"/>
  <c r="P116" i="18"/>
  <c r="AZ129" i="18"/>
  <c r="BA129" i="18"/>
  <c r="BB129" i="18"/>
  <c r="P130" i="18"/>
  <c r="Q116" i="18"/>
  <c r="BE129" i="18"/>
  <c r="BF129" i="18"/>
  <c r="BG129" i="18"/>
  <c r="Q130" i="18"/>
  <c r="R116" i="18"/>
  <c r="T114" i="18" a="1"/>
  <c r="T114" i="18"/>
  <c r="G47" i="7"/>
  <c r="U114" i="18"/>
  <c r="H47" i="7"/>
  <c r="V114" i="18"/>
  <c r="I47" i="7"/>
  <c r="W114" i="18"/>
  <c r="J47" i="7"/>
  <c r="C47" i="7"/>
  <c r="AU160" i="18" a="1"/>
  <c r="AU160" i="18"/>
  <c r="AV160" i="18"/>
  <c r="AW160" i="18"/>
  <c r="O161" i="18"/>
  <c r="P147" i="18"/>
  <c r="AZ160" i="18" a="1"/>
  <c r="AZ160" i="18"/>
  <c r="BA160" i="18"/>
  <c r="BB160" i="18"/>
  <c r="P161" i="18"/>
  <c r="Q147" i="18"/>
  <c r="BE160" i="18" a="1"/>
  <c r="BE160" i="18"/>
  <c r="BF160" i="18"/>
  <c r="BG160" i="18"/>
  <c r="Q161" i="18"/>
  <c r="R147" i="18"/>
  <c r="AU161" i="18"/>
  <c r="AV161" i="18"/>
  <c r="AW161" i="18"/>
  <c r="O162" i="18"/>
  <c r="P148" i="18"/>
  <c r="AZ161" i="18"/>
  <c r="BA161" i="18"/>
  <c r="BB161" i="18"/>
  <c r="P162" i="18"/>
  <c r="Q148" i="18"/>
  <c r="BE161" i="18"/>
  <c r="BF161" i="18"/>
  <c r="BG161" i="18"/>
  <c r="Q162" i="18"/>
  <c r="R148" i="18"/>
  <c r="AU162" i="18"/>
  <c r="AV162" i="18"/>
  <c r="AW162" i="18"/>
  <c r="O163" i="18"/>
  <c r="P149" i="18"/>
  <c r="AZ162" i="18"/>
  <c r="BA162" i="18"/>
  <c r="BB162" i="18"/>
  <c r="P163" i="18"/>
  <c r="Q149" i="18"/>
  <c r="BE162" i="18"/>
  <c r="BF162" i="18"/>
  <c r="BG162" i="18"/>
  <c r="Q163" i="18"/>
  <c r="R149" i="18"/>
  <c r="T147" i="18" a="1"/>
  <c r="T147" i="18"/>
  <c r="G54" i="7"/>
  <c r="U147" i="18"/>
  <c r="H54" i="7"/>
  <c r="V147" i="18"/>
  <c r="I54" i="7"/>
  <c r="W147" i="18"/>
  <c r="J54" i="7"/>
  <c r="C54" i="7"/>
  <c r="AU193" i="18" a="1"/>
  <c r="AU193" i="18"/>
  <c r="AV193" i="18"/>
  <c r="AW193" i="18"/>
  <c r="O194" i="18"/>
  <c r="P180" i="18"/>
  <c r="AZ193" i="18" a="1"/>
  <c r="AZ193" i="18"/>
  <c r="BA193" i="18"/>
  <c r="BB193" i="18"/>
  <c r="P194" i="18"/>
  <c r="Q180" i="18"/>
  <c r="BE193" i="18" a="1"/>
  <c r="BE193" i="18"/>
  <c r="BF193" i="18"/>
  <c r="BG193" i="18"/>
  <c r="Q194" i="18"/>
  <c r="R180" i="18"/>
  <c r="AU194" i="18"/>
  <c r="AV194" i="18"/>
  <c r="AW194" i="18"/>
  <c r="O195" i="18"/>
  <c r="P181" i="18"/>
  <c r="AZ194" i="18"/>
  <c r="BA194" i="18"/>
  <c r="BB194" i="18"/>
  <c r="P195" i="18"/>
  <c r="Q181" i="18"/>
  <c r="BE194" i="18"/>
  <c r="BF194" i="18"/>
  <c r="BG194" i="18"/>
  <c r="Q195" i="18"/>
  <c r="R181" i="18"/>
  <c r="AU195" i="18"/>
  <c r="AV195" i="18"/>
  <c r="AW195" i="18"/>
  <c r="O196" i="18"/>
  <c r="P182" i="18"/>
  <c r="AZ195" i="18"/>
  <c r="BA195" i="18"/>
  <c r="BB195" i="18"/>
  <c r="P196" i="18"/>
  <c r="Q182" i="18"/>
  <c r="BE195" i="18"/>
  <c r="BF195" i="18"/>
  <c r="BG195" i="18"/>
  <c r="Q196" i="18"/>
  <c r="R182" i="18"/>
  <c r="T180" i="18" a="1"/>
  <c r="T180" i="18"/>
  <c r="G61" i="7"/>
  <c r="U180" i="18"/>
  <c r="H61" i="7"/>
  <c r="V180" i="18"/>
  <c r="I61" i="7"/>
  <c r="W180" i="18"/>
  <c r="J61" i="7"/>
  <c r="C61" i="7"/>
  <c r="AU226" i="18" a="1"/>
  <c r="AU226" i="18"/>
  <c r="AV226" i="18"/>
  <c r="AW226" i="18"/>
  <c r="O227" i="18"/>
  <c r="P213" i="18"/>
  <c r="AZ226" i="18" a="1"/>
  <c r="AZ226" i="18"/>
  <c r="BA226" i="18"/>
  <c r="BB226" i="18"/>
  <c r="P227" i="18"/>
  <c r="Q213" i="18"/>
  <c r="BE226" i="18" a="1"/>
  <c r="BE226" i="18"/>
  <c r="BF226" i="18"/>
  <c r="BG226" i="18"/>
  <c r="Q227" i="18"/>
  <c r="R213" i="18"/>
  <c r="AU227" i="18"/>
  <c r="AV227" i="18"/>
  <c r="AW227" i="18"/>
  <c r="O228" i="18"/>
  <c r="P214" i="18"/>
  <c r="AZ227" i="18"/>
  <c r="BA227" i="18"/>
  <c r="BB227" i="18"/>
  <c r="P228" i="18"/>
  <c r="Q214" i="18"/>
  <c r="BE227" i="18"/>
  <c r="BF227" i="18"/>
  <c r="BG227" i="18"/>
  <c r="Q228" i="18"/>
  <c r="R214" i="18"/>
  <c r="AU228" i="18"/>
  <c r="AV228" i="18"/>
  <c r="AW228" i="18"/>
  <c r="O229" i="18"/>
  <c r="P215" i="18"/>
  <c r="AZ228" i="18"/>
  <c r="BA228" i="18"/>
  <c r="BB228" i="18"/>
  <c r="P229" i="18"/>
  <c r="Q215" i="18"/>
  <c r="BE228" i="18"/>
  <c r="BF228" i="18"/>
  <c r="BG228" i="18"/>
  <c r="Q229" i="18"/>
  <c r="R215" i="18"/>
  <c r="T213" i="18" a="1"/>
  <c r="T213" i="18"/>
  <c r="G68" i="7"/>
  <c r="U213" i="18"/>
  <c r="H68" i="7"/>
  <c r="V213" i="18"/>
  <c r="I68" i="7"/>
  <c r="W213" i="18"/>
  <c r="J68" i="7"/>
  <c r="C68" i="7"/>
  <c r="AU259" i="18" a="1"/>
  <c r="AU259" i="18"/>
  <c r="AV259" i="18"/>
  <c r="AW259" i="18"/>
  <c r="O260" i="18"/>
  <c r="P246" i="18"/>
  <c r="AZ259" i="18" a="1"/>
  <c r="AZ259" i="18"/>
  <c r="BA259" i="18"/>
  <c r="BB259" i="18"/>
  <c r="P260" i="18"/>
  <c r="Q246" i="18"/>
  <c r="BE259" i="18" a="1"/>
  <c r="BE259" i="18"/>
  <c r="BF259" i="18"/>
  <c r="BG259" i="18"/>
  <c r="Q260" i="18"/>
  <c r="R246" i="18"/>
  <c r="AU260" i="18"/>
  <c r="AV260" i="18"/>
  <c r="AW260" i="18"/>
  <c r="O261" i="18"/>
  <c r="P247" i="18"/>
  <c r="AZ260" i="18"/>
  <c r="BA260" i="18"/>
  <c r="BB260" i="18"/>
  <c r="P261" i="18"/>
  <c r="Q247" i="18"/>
  <c r="BE260" i="18"/>
  <c r="BF260" i="18"/>
  <c r="BG260" i="18"/>
  <c r="Q261" i="18"/>
  <c r="R247" i="18"/>
  <c r="AU261" i="18"/>
  <c r="AV261" i="18"/>
  <c r="AW261" i="18"/>
  <c r="O262" i="18"/>
  <c r="P248" i="18"/>
  <c r="AZ261" i="18"/>
  <c r="BA261" i="18"/>
  <c r="BB261" i="18"/>
  <c r="P262" i="18"/>
  <c r="Q248" i="18"/>
  <c r="BE261" i="18"/>
  <c r="BF261" i="18"/>
  <c r="BG261" i="18"/>
  <c r="Q262" i="18"/>
  <c r="R248" i="18"/>
  <c r="T246" i="18" a="1"/>
  <c r="T246" i="18"/>
  <c r="G75" i="7"/>
  <c r="U246" i="18"/>
  <c r="H75" i="7"/>
  <c r="V246" i="18"/>
  <c r="I75" i="7"/>
  <c r="W246" i="18"/>
  <c r="J75" i="7"/>
  <c r="C75" i="7"/>
  <c r="AU292" i="18" a="1"/>
  <c r="AU292" i="18"/>
  <c r="AV292" i="18"/>
  <c r="AW292" i="18"/>
  <c r="O293" i="18"/>
  <c r="P279" i="18"/>
  <c r="AZ292" i="18" a="1"/>
  <c r="AZ292" i="18"/>
  <c r="BA292" i="18"/>
  <c r="BB292" i="18"/>
  <c r="P293" i="18"/>
  <c r="Q279" i="18"/>
  <c r="BE292" i="18" a="1"/>
  <c r="BE292" i="18"/>
  <c r="BF292" i="18"/>
  <c r="BG292" i="18"/>
  <c r="Q293" i="18"/>
  <c r="R279" i="18"/>
  <c r="AU293" i="18"/>
  <c r="AV293" i="18"/>
  <c r="AW293" i="18"/>
  <c r="O294" i="18"/>
  <c r="P280" i="18"/>
  <c r="AZ293" i="18"/>
  <c r="BA293" i="18"/>
  <c r="BB293" i="18"/>
  <c r="P294" i="18"/>
  <c r="Q280" i="18"/>
  <c r="BE293" i="18"/>
  <c r="BF293" i="18"/>
  <c r="BG293" i="18"/>
  <c r="Q294" i="18"/>
  <c r="R280" i="18"/>
  <c r="AU294" i="18"/>
  <c r="AV294" i="18"/>
  <c r="AW294" i="18"/>
  <c r="O295" i="18"/>
  <c r="P281" i="18"/>
  <c r="AZ294" i="18"/>
  <c r="BA294" i="18"/>
  <c r="BB294" i="18"/>
  <c r="P295" i="18"/>
  <c r="Q281" i="18"/>
  <c r="BE294" i="18"/>
  <c r="BF294" i="18"/>
  <c r="BG294" i="18"/>
  <c r="Q295"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D16" i="7"/>
  <c r="E16"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D17" i="7"/>
  <c r="E17"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D18" i="7"/>
  <c r="E18" i="7"/>
  <c r="E19" i="7"/>
  <c r="D19" i="7"/>
  <c r="C19" i="7"/>
  <c r="W315" i="18"/>
  <c r="V315" i="18"/>
  <c r="U315" i="18"/>
  <c r="T315" i="18"/>
  <c r="W282" i="18"/>
  <c r="V282" i="18"/>
  <c r="U282" i="18"/>
  <c r="T282" i="18"/>
  <c r="W249" i="18"/>
  <c r="V249" i="18"/>
  <c r="U249" i="18"/>
  <c r="T249" i="18"/>
  <c r="W216" i="18"/>
  <c r="V216" i="18"/>
  <c r="U216" i="18"/>
  <c r="T216" i="18"/>
  <c r="W183" i="18"/>
  <c r="V183" i="18"/>
  <c r="U183" i="18"/>
  <c r="T183" i="18"/>
  <c r="W150" i="18"/>
  <c r="V150" i="18"/>
  <c r="U150" i="18"/>
  <c r="T150" i="18"/>
  <c r="W117" i="18"/>
  <c r="V117" i="18"/>
  <c r="U117" i="18"/>
  <c r="T117" i="18"/>
  <c r="W84" i="18"/>
  <c r="V84" i="18"/>
  <c r="U84" i="18"/>
  <c r="T84" i="18"/>
  <c r="W51" i="18"/>
  <c r="V51" i="18"/>
  <c r="U51" i="18"/>
  <c r="T51"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BE295" i="18"/>
  <c r="AZ295" i="18"/>
  <c r="AU295" i="18"/>
  <c r="BE262" i="18"/>
  <c r="AZ262" i="18"/>
  <c r="AU262" i="18"/>
  <c r="BE229" i="18"/>
  <c r="AZ229" i="18"/>
  <c r="AU229" i="18"/>
  <c r="BE196" i="18"/>
  <c r="AZ196" i="18"/>
  <c r="AU196" i="18"/>
  <c r="BE163" i="18"/>
  <c r="AZ163" i="18"/>
  <c r="AU163" i="18"/>
  <c r="BE130" i="18"/>
  <c r="AZ130" i="18"/>
  <c r="AU130" i="18"/>
  <c r="BE97" i="18"/>
  <c r="AZ97" i="18"/>
  <c r="AU97" i="18"/>
  <c r="BE64" i="18"/>
  <c r="AZ64" i="18"/>
  <c r="AU64" i="18"/>
  <c r="AC330" i="18" a="1"/>
  <c r="AC332" i="18"/>
  <c r="C323" i="18"/>
  <c r="AC331" i="18"/>
  <c r="C322" i="18"/>
  <c r="AC330" i="18"/>
  <c r="C321" i="18"/>
  <c r="AC333" i="18"/>
  <c r="L66" i="18"/>
  <c r="K65" i="18"/>
  <c r="G65" i="18"/>
  <c r="J64" i="18"/>
  <c r="H64" i="18"/>
  <c r="I63" i="18"/>
  <c r="J62" i="18"/>
  <c r="H62" i="18"/>
  <c r="K61" i="18"/>
  <c r="G61" i="18"/>
  <c r="M63" i="18"/>
  <c r="M62" i="18"/>
  <c r="M61" i="18"/>
  <c r="M66" i="18"/>
  <c r="M65" i="18"/>
  <c r="M64" i="18"/>
  <c r="M96" i="18"/>
  <c r="M95" i="18"/>
  <c r="M94" i="18"/>
  <c r="M99" i="18"/>
  <c r="M98" i="18"/>
  <c r="M97" i="18"/>
  <c r="M129" i="18"/>
  <c r="M128" i="18"/>
  <c r="M127" i="18"/>
  <c r="M132" i="18"/>
  <c r="M131" i="18"/>
  <c r="M130" i="18"/>
  <c r="M195" i="18"/>
  <c r="M194" i="18"/>
  <c r="M193" i="18"/>
  <c r="M198" i="18"/>
  <c r="M197" i="18"/>
  <c r="M196" i="18"/>
  <c r="M228" i="18"/>
  <c r="M227" i="18"/>
  <c r="M226" i="18"/>
  <c r="M231" i="18"/>
  <c r="M230" i="18"/>
  <c r="M229" i="18"/>
  <c r="M261" i="18"/>
  <c r="M260" i="18"/>
  <c r="M259" i="18"/>
  <c r="M264" i="18"/>
  <c r="M263" i="18"/>
  <c r="M262" i="18"/>
  <c r="M294" i="18"/>
  <c r="M293" i="18"/>
  <c r="M292" i="18"/>
  <c r="M297" i="18"/>
  <c r="M296" i="18"/>
  <c r="M295" i="18"/>
  <c r="M327" i="18"/>
  <c r="M326" i="18"/>
  <c r="M325" i="18"/>
  <c r="M330" i="18"/>
  <c r="M329" i="18"/>
  <c r="M328" i="18"/>
  <c r="C332" i="18"/>
  <c r="F325" i="18" a="1"/>
  <c r="F330" i="18"/>
  <c r="J287" i="18"/>
  <c r="F329" i="18"/>
  <c r="J286" i="18"/>
  <c r="F328" i="18"/>
  <c r="F292" i="18" a="1"/>
  <c r="F297" i="18"/>
  <c r="J254" i="18"/>
  <c r="F296" i="18"/>
  <c r="J253" i="18"/>
  <c r="F295" i="18"/>
  <c r="F259" i="18" a="1"/>
  <c r="F264" i="18"/>
  <c r="J221" i="18"/>
  <c r="F263" i="18"/>
  <c r="J220" i="18"/>
  <c r="F262" i="18"/>
  <c r="F226" i="18" a="1"/>
  <c r="F231" i="18"/>
  <c r="J188" i="18"/>
  <c r="F230" i="18"/>
  <c r="J187" i="18"/>
  <c r="F229" i="18"/>
  <c r="F193" i="18" a="1"/>
  <c r="F198" i="18"/>
  <c r="J155" i="18"/>
  <c r="F197" i="18"/>
  <c r="J154" i="18"/>
  <c r="F196" i="18"/>
  <c r="F127" i="18" a="1"/>
  <c r="F132" i="18"/>
  <c r="J89" i="18"/>
  <c r="F131" i="18"/>
  <c r="J88" i="18"/>
  <c r="F130" i="18"/>
  <c r="F94" i="18" a="1"/>
  <c r="F99" i="18"/>
  <c r="J56" i="18"/>
  <c r="F98" i="18"/>
  <c r="J55" i="18"/>
  <c r="F97" i="18"/>
  <c r="F61" i="18" a="1"/>
  <c r="F66" i="18"/>
  <c r="J23" i="18"/>
  <c r="F65" i="18"/>
  <c r="J22" i="18"/>
  <c r="F64" i="18"/>
  <c r="F327" i="18"/>
  <c r="Y314" i="18"/>
  <c r="F326" i="18"/>
  <c r="Y313" i="18"/>
  <c r="F325" i="18"/>
  <c r="F294" i="18"/>
  <c r="Y281" i="18"/>
  <c r="F293" i="18"/>
  <c r="Y280" i="18"/>
  <c r="F292" i="18"/>
  <c r="F261" i="18"/>
  <c r="Y248" i="18"/>
  <c r="F260" i="18"/>
  <c r="Y247" i="18"/>
  <c r="F259" i="18"/>
  <c r="F228" i="18"/>
  <c r="Y215" i="18"/>
  <c r="F227" i="18"/>
  <c r="Y214" i="18"/>
  <c r="F226" i="18"/>
  <c r="F195" i="18"/>
  <c r="Y182" i="18"/>
  <c r="F194" i="18"/>
  <c r="Y181" i="18"/>
  <c r="F193" i="18"/>
  <c r="F129" i="18"/>
  <c r="Y116" i="18"/>
  <c r="F128" i="18"/>
  <c r="Y115" i="18"/>
  <c r="F127" i="18"/>
  <c r="F96" i="18"/>
  <c r="Y83" i="18"/>
  <c r="F95" i="18"/>
  <c r="Y82" i="18"/>
  <c r="F94" i="18"/>
  <c r="J54" i="18"/>
  <c r="L54" i="18" a="1"/>
  <c r="L54" i="18"/>
  <c r="F57" i="18"/>
  <c r="Z49" i="18"/>
  <c r="Z50" i="18"/>
  <c r="Z48" i="18"/>
  <c r="Z55" i="18" a="1"/>
  <c r="Z55" i="18"/>
  <c r="R33" i="7"/>
  <c r="L55" i="18"/>
  <c r="F58" i="18"/>
  <c r="AA49" i="18"/>
  <c r="AA50" i="18"/>
  <c r="AA48" i="18"/>
  <c r="AA55" i="18" a="1"/>
  <c r="AA55" i="18"/>
  <c r="S33" i="7"/>
  <c r="L56" i="18"/>
  <c r="F59" i="18"/>
  <c r="AB49" i="18"/>
  <c r="AB50" i="18"/>
  <c r="AB48" i="18"/>
  <c r="AB55" i="18" a="1"/>
  <c r="AB55" i="18"/>
  <c r="T33" i="7"/>
  <c r="J87" i="18"/>
  <c r="L87" i="18" a="1"/>
  <c r="L87" i="18"/>
  <c r="F90" i="18"/>
  <c r="Z82" i="18"/>
  <c r="Z83" i="18"/>
  <c r="Z81" i="18"/>
  <c r="Z88" i="18" a="1"/>
  <c r="Z88" i="18"/>
  <c r="R40" i="7"/>
  <c r="L88" i="18"/>
  <c r="F91" i="18"/>
  <c r="AA82" i="18"/>
  <c r="AA83" i="18"/>
  <c r="AA81" i="18"/>
  <c r="AA88" i="18" a="1"/>
  <c r="AA88" i="18"/>
  <c r="S40" i="7"/>
  <c r="L89" i="18"/>
  <c r="F92" i="18"/>
  <c r="AB82" i="18"/>
  <c r="AB83" i="18"/>
  <c r="AB81" i="18"/>
  <c r="AB88" i="18" a="1"/>
  <c r="AB88" i="18"/>
  <c r="T40" i="7"/>
  <c r="Y81" i="18"/>
  <c r="Y88" i="18" a="1"/>
  <c r="Y88" i="18"/>
  <c r="Q40" i="7"/>
  <c r="E40" i="7"/>
  <c r="J153" i="18"/>
  <c r="L153" i="18" a="1"/>
  <c r="L153" i="18"/>
  <c r="F156" i="18"/>
  <c r="Z148" i="18"/>
  <c r="Z149" i="18"/>
  <c r="Z147" i="18"/>
  <c r="Z154" i="18" a="1"/>
  <c r="Z154" i="18"/>
  <c r="R54" i="7"/>
  <c r="L154" i="18"/>
  <c r="F157" i="18"/>
  <c r="AA148" i="18"/>
  <c r="AA149" i="18"/>
  <c r="AA147" i="18"/>
  <c r="AA154" i="18" a="1"/>
  <c r="AA154" i="18"/>
  <c r="S54" i="7"/>
  <c r="L155" i="18"/>
  <c r="F158" i="18"/>
  <c r="AB148" i="18"/>
  <c r="AB149" i="18"/>
  <c r="AB147" i="18"/>
  <c r="AB154" i="18" a="1"/>
  <c r="AB154" i="18"/>
  <c r="T54" i="7"/>
  <c r="J186" i="18"/>
  <c r="L186" i="18" a="1"/>
  <c r="L186" i="18"/>
  <c r="F189" i="18"/>
  <c r="Z181" i="18"/>
  <c r="Z182" i="18"/>
  <c r="Z180" i="18"/>
  <c r="Z187" i="18" a="1"/>
  <c r="Z187" i="18"/>
  <c r="R61" i="7"/>
  <c r="L187" i="18"/>
  <c r="F190" i="18"/>
  <c r="AA181" i="18"/>
  <c r="AA182" i="18"/>
  <c r="AA180" i="18"/>
  <c r="AA187" i="18" a="1"/>
  <c r="AA187" i="18"/>
  <c r="S61" i="7"/>
  <c r="L188" i="18"/>
  <c r="F191" i="18"/>
  <c r="AB181" i="18"/>
  <c r="AB182" i="18"/>
  <c r="AB180" i="18"/>
  <c r="AB187" i="18" a="1"/>
  <c r="AB187" i="18"/>
  <c r="T61" i="7"/>
  <c r="Y180" i="18"/>
  <c r="Y187" i="18" a="1"/>
  <c r="Y187" i="18"/>
  <c r="Q61" i="7"/>
  <c r="E61" i="7"/>
  <c r="J219" i="18"/>
  <c r="L219" i="18" a="1"/>
  <c r="L219" i="18"/>
  <c r="F222" i="18"/>
  <c r="Z214" i="18"/>
  <c r="Z215" i="18"/>
  <c r="Z213" i="18"/>
  <c r="Z220" i="18" a="1"/>
  <c r="Z220" i="18"/>
  <c r="R68" i="7"/>
  <c r="L220" i="18"/>
  <c r="F223" i="18"/>
  <c r="AA214" i="18"/>
  <c r="AA215" i="18"/>
  <c r="AA213" i="18"/>
  <c r="AA220" i="18" a="1"/>
  <c r="AA220" i="18"/>
  <c r="S68" i="7"/>
  <c r="L221" i="18"/>
  <c r="F224" i="18"/>
  <c r="AB214" i="18"/>
  <c r="AB215" i="18"/>
  <c r="AB213" i="18"/>
  <c r="AB220" i="18" a="1"/>
  <c r="AB220" i="18"/>
  <c r="T68" i="7"/>
  <c r="Y213" i="18"/>
  <c r="Y220" i="18" a="1"/>
  <c r="Y220" i="18"/>
  <c r="Q68" i="7"/>
  <c r="E68" i="7"/>
  <c r="J252" i="18"/>
  <c r="L252" i="18" a="1"/>
  <c r="L252" i="18"/>
  <c r="F255" i="18"/>
  <c r="Z247" i="18"/>
  <c r="Z248" i="18"/>
  <c r="Z246" i="18"/>
  <c r="Z253" i="18" a="1"/>
  <c r="Z253" i="18"/>
  <c r="R75" i="7"/>
  <c r="L253" i="18"/>
  <c r="F256" i="18"/>
  <c r="AA247" i="18"/>
  <c r="AA248" i="18"/>
  <c r="AA246" i="18"/>
  <c r="AA253" i="18" a="1"/>
  <c r="AA253" i="18"/>
  <c r="S75" i="7"/>
  <c r="L254" i="18"/>
  <c r="F257" i="18"/>
  <c r="AB247" i="18"/>
  <c r="AB248" i="18"/>
  <c r="AB246" i="18"/>
  <c r="AB253" i="18" a="1"/>
  <c r="AB253" i="18"/>
  <c r="T75" i="7"/>
  <c r="Y246" i="18"/>
  <c r="Y253" i="18" a="1"/>
  <c r="Y253" i="18"/>
  <c r="Q75" i="7"/>
  <c r="E75" i="7"/>
  <c r="J285" i="18"/>
  <c r="L285" i="18" a="1"/>
  <c r="L285" i="18"/>
  <c r="F288" i="18"/>
  <c r="Z280" i="18"/>
  <c r="Z281" i="18"/>
  <c r="Z279" i="18"/>
  <c r="Z286" i="18" a="1"/>
  <c r="Z286" i="18"/>
  <c r="R82" i="7"/>
  <c r="L286" i="18"/>
  <c r="F289" i="18"/>
  <c r="AA280" i="18"/>
  <c r="AA281" i="18"/>
  <c r="AA279" i="18"/>
  <c r="AA286" i="18" a="1"/>
  <c r="AA286" i="18"/>
  <c r="S82" i="7"/>
  <c r="L287" i="18"/>
  <c r="F290" i="18"/>
  <c r="AB280" i="18"/>
  <c r="AB281" i="18"/>
  <c r="AB279" i="18"/>
  <c r="AB286" i="18" a="1"/>
  <c r="AB286" i="18"/>
  <c r="T82" i="7"/>
  <c r="Y279" i="18"/>
  <c r="Y286" i="18" a="1"/>
  <c r="Y286" i="18"/>
  <c r="Q82" i="7"/>
  <c r="E82" i="7"/>
  <c r="Y312" i="18"/>
  <c r="Y319" i="18" a="1"/>
  <c r="Y319" i="18"/>
  <c r="Q89" i="7"/>
  <c r="E89" i="7"/>
  <c r="Z56" i="18"/>
  <c r="R34" i="7"/>
  <c r="AA56" i="18"/>
  <c r="S34" i="7"/>
  <c r="AB56" i="18"/>
  <c r="T34" i="7"/>
  <c r="Z89" i="18"/>
  <c r="R41" i="7"/>
  <c r="AA89" i="18"/>
  <c r="S41" i="7"/>
  <c r="AB89" i="18"/>
  <c r="T41" i="7"/>
  <c r="Y89" i="18"/>
  <c r="Q41" i="7"/>
  <c r="E41" i="7"/>
  <c r="Z155" i="18"/>
  <c r="R55" i="7"/>
  <c r="AA155" i="18"/>
  <c r="S55" i="7"/>
  <c r="AB155" i="18"/>
  <c r="T55" i="7"/>
  <c r="Z188" i="18"/>
  <c r="R62" i="7"/>
  <c r="AA188" i="18"/>
  <c r="S62" i="7"/>
  <c r="AB188" i="18"/>
  <c r="T62" i="7"/>
  <c r="Y188" i="18"/>
  <c r="Q62" i="7"/>
  <c r="E62" i="7"/>
  <c r="Z221" i="18"/>
  <c r="R69" i="7"/>
  <c r="AA221" i="18"/>
  <c r="S69" i="7"/>
  <c r="AB221" i="18"/>
  <c r="T69" i="7"/>
  <c r="Y221" i="18"/>
  <c r="Q69" i="7"/>
  <c r="E69" i="7"/>
  <c r="Z254" i="18"/>
  <c r="R76" i="7"/>
  <c r="AA254" i="18"/>
  <c r="S76" i="7"/>
  <c r="AB254" i="18"/>
  <c r="T76" i="7"/>
  <c r="Y254" i="18"/>
  <c r="Q76" i="7"/>
  <c r="E76" i="7"/>
  <c r="Z287" i="18"/>
  <c r="R83" i="7"/>
  <c r="AA287" i="18"/>
  <c r="S83" i="7"/>
  <c r="AB287" i="18"/>
  <c r="T83" i="7"/>
  <c r="Y287" i="18"/>
  <c r="Q83" i="7"/>
  <c r="E83" i="7"/>
  <c r="Y320" i="18"/>
  <c r="Q90" i="7"/>
  <c r="E90" i="7"/>
  <c r="Z57" i="18"/>
  <c r="Z58" i="18"/>
  <c r="R35" i="7"/>
  <c r="AA57" i="18"/>
  <c r="AA58" i="18"/>
  <c r="S35" i="7"/>
  <c r="AB57" i="18"/>
  <c r="L57" i="18"/>
  <c r="AB58" i="18"/>
  <c r="T35" i="7"/>
  <c r="Z90" i="18"/>
  <c r="Z91" i="18"/>
  <c r="R42" i="7"/>
  <c r="AA90" i="18"/>
  <c r="AA91" i="18"/>
  <c r="S42" i="7"/>
  <c r="AB90" i="18"/>
  <c r="L90" i="18"/>
  <c r="AB91" i="18"/>
  <c r="T42" i="7"/>
  <c r="Y91" i="18"/>
  <c r="Y90" i="18"/>
  <c r="Q42" i="7"/>
  <c r="E42" i="7"/>
  <c r="Z156" i="18"/>
  <c r="Z157" i="18"/>
  <c r="R56" i="7"/>
  <c r="AA156" i="18"/>
  <c r="AA157" i="18"/>
  <c r="S56" i="7"/>
  <c r="AB156" i="18"/>
  <c r="L156" i="18"/>
  <c r="AB157" i="18"/>
  <c r="T56" i="7"/>
  <c r="Z189" i="18"/>
  <c r="Z190" i="18"/>
  <c r="R63" i="7"/>
  <c r="AA189" i="18"/>
  <c r="AA190" i="18"/>
  <c r="S63" i="7"/>
  <c r="AB189" i="18"/>
  <c r="L189" i="18"/>
  <c r="AB190" i="18"/>
  <c r="T63" i="7"/>
  <c r="Y190" i="18"/>
  <c r="Y189" i="18"/>
  <c r="Q63" i="7"/>
  <c r="E63" i="7"/>
  <c r="Z222" i="18"/>
  <c r="Z223" i="18"/>
  <c r="R70" i="7"/>
  <c r="AA222" i="18"/>
  <c r="AA223" i="18"/>
  <c r="S70" i="7"/>
  <c r="AB222" i="18"/>
  <c r="L222" i="18"/>
  <c r="AB223" i="18"/>
  <c r="T70" i="7"/>
  <c r="Y223" i="18"/>
  <c r="Y222" i="18"/>
  <c r="Q70" i="7"/>
  <c r="E70" i="7"/>
  <c r="Z255" i="18"/>
  <c r="Z256" i="18"/>
  <c r="R77" i="7"/>
  <c r="AA255" i="18"/>
  <c r="AA256" i="18"/>
  <c r="S77" i="7"/>
  <c r="AB255" i="18"/>
  <c r="L255" i="18"/>
  <c r="AB256" i="18"/>
  <c r="T77" i="7"/>
  <c r="Y256" i="18"/>
  <c r="Y255" i="18"/>
  <c r="Q77" i="7"/>
  <c r="E77" i="7"/>
  <c r="Z288" i="18"/>
  <c r="Z289" i="18"/>
  <c r="R84" i="7"/>
  <c r="AA288" i="18"/>
  <c r="AA289" i="18"/>
  <c r="S84" i="7"/>
  <c r="AB288" i="18"/>
  <c r="L288" i="18"/>
  <c r="AB289" i="18"/>
  <c r="T84" i="7"/>
  <c r="Y289" i="18"/>
  <c r="Y288" i="18"/>
  <c r="Q84" i="7"/>
  <c r="E84" i="7"/>
  <c r="Y322" i="18"/>
  <c r="Y321" i="18"/>
  <c r="Q91" i="7"/>
  <c r="E91" i="7"/>
  <c r="J21" i="18"/>
  <c r="L21" i="18" a="1"/>
  <c r="L21" i="18"/>
  <c r="F24" i="18"/>
  <c r="Z16" i="18"/>
  <c r="Z17" i="18"/>
  <c r="L22" i="18"/>
  <c r="F25" i="18"/>
  <c r="AA16" i="18"/>
  <c r="AA17" i="18"/>
  <c r="AA15" i="18"/>
  <c r="AA22" i="18" a="1"/>
  <c r="AA22" i="18"/>
  <c r="S26" i="7"/>
  <c r="L23" i="18"/>
  <c r="F26" i="18"/>
  <c r="AB16" i="18"/>
  <c r="AB17" i="18"/>
  <c r="AB15" i="18"/>
  <c r="AB22" i="18" a="1"/>
  <c r="AB22" i="18"/>
  <c r="T26" i="7"/>
  <c r="F61" i="18"/>
  <c r="F62" i="18"/>
  <c r="Y49" i="18"/>
  <c r="F63" i="18"/>
  <c r="Y50" i="18"/>
  <c r="Y48" i="18"/>
  <c r="Y55" i="18" a="1"/>
  <c r="Y55" i="18"/>
  <c r="Q33" i="7"/>
  <c r="E33" i="7"/>
  <c r="AA23" i="18"/>
  <c r="S27" i="7"/>
  <c r="AB23" i="18"/>
  <c r="T27" i="7"/>
  <c r="Y56" i="18"/>
  <c r="Q34" i="7"/>
  <c r="E34" i="7"/>
  <c r="AA24" i="18"/>
  <c r="AA25" i="18"/>
  <c r="S28" i="7"/>
  <c r="AB24" i="18"/>
  <c r="AB25" i="18"/>
  <c r="T28" i="7"/>
  <c r="Y57" i="18"/>
  <c r="Y58" i="18"/>
  <c r="Q35" i="7"/>
  <c r="E35" i="7"/>
  <c r="L24" i="18"/>
  <c r="F160" i="18" a="1"/>
  <c r="F164" i="18"/>
  <c r="J121" i="18"/>
  <c r="F165" i="18"/>
  <c r="J122" i="18"/>
  <c r="F163" i="18"/>
  <c r="J120" i="18"/>
  <c r="L120" i="18" a="1"/>
  <c r="L120" i="18"/>
  <c r="F123" i="18"/>
  <c r="Z115" i="18"/>
  <c r="Z116" i="18"/>
  <c r="Z114" i="18"/>
  <c r="Z121" i="18" a="1"/>
  <c r="Z121" i="18"/>
  <c r="R47" i="7"/>
  <c r="L121" i="18"/>
  <c r="F124" i="18"/>
  <c r="AA115" i="18"/>
  <c r="AA116" i="18"/>
  <c r="AA114" i="18"/>
  <c r="AA121" i="18" a="1"/>
  <c r="AA121" i="18"/>
  <c r="S47" i="7"/>
  <c r="L122" i="18"/>
  <c r="F125" i="18"/>
  <c r="AB115" i="18"/>
  <c r="AB116" i="18"/>
  <c r="AB114" i="18"/>
  <c r="AB121" i="18" a="1"/>
  <c r="AB121" i="18"/>
  <c r="T47" i="7"/>
  <c r="Y114" i="18"/>
  <c r="Y121" i="18" a="1"/>
  <c r="Y121" i="18"/>
  <c r="Q47" i="7"/>
  <c r="E47" i="7"/>
  <c r="F160" i="18"/>
  <c r="F161" i="18"/>
  <c r="Y148" i="18"/>
  <c r="F162" i="18"/>
  <c r="Y149" i="18"/>
  <c r="Y147" i="18"/>
  <c r="Y154" i="18" a="1"/>
  <c r="Y154" i="18"/>
  <c r="Q54" i="7"/>
  <c r="E54" i="7"/>
  <c r="Z122" i="18"/>
  <c r="R48" i="7"/>
  <c r="AA122" i="18"/>
  <c r="S48" i="7"/>
  <c r="AB122" i="18"/>
  <c r="T48" i="7"/>
  <c r="Y122" i="18"/>
  <c r="Q48" i="7"/>
  <c r="E48" i="7"/>
  <c r="Y155" i="18"/>
  <c r="Q55" i="7"/>
  <c r="E55" i="7"/>
  <c r="Z15" i="18"/>
  <c r="Z22" i="18" a="1"/>
  <c r="Z23" i="18"/>
  <c r="R27" i="7"/>
  <c r="E27" i="7"/>
  <c r="G17" i="7"/>
  <c r="Z123" i="18"/>
  <c r="Z124" i="18"/>
  <c r="R49" i="7"/>
  <c r="AA123" i="18"/>
  <c r="AA124" i="18"/>
  <c r="S49" i="7"/>
  <c r="AB123" i="18"/>
  <c r="L123" i="18"/>
  <c r="AB124" i="18"/>
  <c r="T49" i="7"/>
  <c r="Y123" i="18"/>
  <c r="Y124" i="18"/>
  <c r="Q49" i="7"/>
  <c r="E49" i="7"/>
  <c r="Y156" i="18"/>
  <c r="Y157" i="18"/>
  <c r="Q56" i="7"/>
  <c r="E56" i="7"/>
  <c r="Z24" i="18"/>
  <c r="R28" i="7"/>
  <c r="E28" i="7"/>
  <c r="G18" i="7"/>
  <c r="Z25" i="18"/>
  <c r="Z22" i="18"/>
  <c r="R26" i="7"/>
  <c r="E26" i="7"/>
  <c r="G16" i="7"/>
  <c r="G19" i="7"/>
</calcChain>
</file>

<file path=xl/comments1.xml><?xml version="1.0" encoding="utf-8"?>
<comments xmlns="http://schemas.openxmlformats.org/spreadsheetml/2006/main">
  <authors>
    <author>Yadunund Vijay</author>
    <author>Alex Slocum</author>
  </authors>
  <commentList>
    <comment ref="C55" authorId="0" shapeId="0">
      <text>
        <r>
          <rPr>
            <b/>
            <sz val="9"/>
            <color indexed="81"/>
            <rFont val="Tahoma"/>
            <family val="2"/>
          </rPr>
          <t>Yadunund Vijay:</t>
        </r>
        <r>
          <rPr>
            <sz val="9"/>
            <color indexed="81"/>
            <rFont val="Tahoma"/>
            <family val="2"/>
          </rPr>
          <t xml:space="preserve">
Half the length of member 3</t>
        </r>
      </text>
    </comment>
    <comment ref="C86" authorId="0" shapeId="0">
      <text>
        <r>
          <rPr>
            <b/>
            <sz val="9"/>
            <color indexed="81"/>
            <rFont val="Tahoma"/>
            <family val="2"/>
          </rPr>
          <t>Yadunund Vijay:</t>
        </r>
        <r>
          <rPr>
            <sz val="9"/>
            <color indexed="81"/>
            <rFont val="Tahoma"/>
            <family val="2"/>
          </rPr>
          <t xml:space="preserve">
Length of member 4</t>
        </r>
      </text>
    </comment>
    <comment ref="C185" authorId="1" shapeId="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1" shapeId="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authors>
    <author>Alex Slocum</author>
  </authors>
  <commentList>
    <comment ref="B28" authorId="0" shapeId="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<sst xmlns="http://schemas.openxmlformats.org/spreadsheetml/2006/main" count="4038" uniqueCount="414">
  <si>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</si>
  <si>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</si>
  <si>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</si>
  <si>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</si>
  <si>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</si>
  <si>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</si>
  <si>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</si>
  <si>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</si>
  <si>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</si>
  <si>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</si>
  <si>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</si>
  <si>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</si>
  <si>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</si>
  <si>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</si>
  <si>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</si>
  <si>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</si>
  <si>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</si>
  <si>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</si>
  <si>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</si>
  <si>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</si>
  <si>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</si>
  <si>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</si>
  <si>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</si>
  <si>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</si>
  <si>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</si>
  <si>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</si>
  <si>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</si>
  <si>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</si>
  <si>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</si>
  <si>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</si>
  <si>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</si>
  <si>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</si>
  <si>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</si>
  <si>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</si>
  <si>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</si>
  <si>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</si>
  <si>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</si>
  <si>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</si>
  <si>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</si>
  <si>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</si>
  <si>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</si>
  <si>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</si>
  <si>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</si>
  <si>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</si>
  <si>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</si>
  <si>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</si>
  <si>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</si>
  <si>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</si>
  <si>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</si>
  <si>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</si>
  <si>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</si>
  <si>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</si>
  <si>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</si>
  <si>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</si>
  <si>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</si>
  <si>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</si>
  <si>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</si>
  <si>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</si>
  <si>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</si>
  <si>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</si>
  <si>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</si>
  <si>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</si>
  <si>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</si>
  <si>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</si>
  <si>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</si>
  <si>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</si>
  <si>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</si>
  <si>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</si>
  <si>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</si>
  <si>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</si>
  <si>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</si>
  <si>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</si>
  <si>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</si>
  <si>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</si>
  <si>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</si>
  <si>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</si>
  <si>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</si>
  <si>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</si>
  <si>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</si>
  <si>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</si>
  <si>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</si>
  <si>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</si>
  <si>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</si>
  <si>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</si>
  <si>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</si>
  <si>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</si>
  <si>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</si>
  <si>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</si>
  <si>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</si>
  <si>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</si>
  <si>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</si>
  <si>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</si>
  <si>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</si>
  <si>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</si>
  <si>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</si>
  <si>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</si>
  <si>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</si>
  <si>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</si>
  <si>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</si>
  <si>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</si>
  <si>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</si>
  <si>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</si>
  <si>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</si>
  <si>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</si>
  <si>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</si>
  <si>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</si>
  <si>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</si>
  <si>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</si>
  <si>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</si>
  <si>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</si>
  <si>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</si>
  <si>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</si>
  <si>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</si>
  <si>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</si>
  <si>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</si>
  <si>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</si>
  <si>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</si>
  <si>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</si>
  <si>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</si>
  <si>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</si>
  <si>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</si>
  <si>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</si>
  <si>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</si>
  <si>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</si>
  <si>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</si>
  <si>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</si>
  <si>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</si>
  <si>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</si>
  <si>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</si>
  <si>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</si>
  <si>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</si>
  <si>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</si>
  <si>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</si>
  <si>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</si>
  <si>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</si>
  <si>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</si>
  <si>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</si>
  <si>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</si>
  <si>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</si>
  <si>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</si>
  <si>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</si>
  <si>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</si>
  <si>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</si>
  <si>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</si>
  <si>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</si>
  <si>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</si>
  <si>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</si>
  <si>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</si>
  <si>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</si>
  <si>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</si>
  <si>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</si>
  <si>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</si>
  <si>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</si>
  <si>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</si>
  <si>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</si>
  <si>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</si>
  <si>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</si>
  <si>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</si>
  <si>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</si>
  <si>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</si>
  <si>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</si>
  <si>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</si>
  <si>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</si>
  <si>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</si>
  <si>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</si>
  <si>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family val="2"/>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</si>
  <si>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</si>
  <si>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</si>
  <si>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</si>
  <si>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family val="2"/>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</si>
  <si>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</si>
  <si>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</si>
  <si>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</si>
  <si>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</si>
  <si>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</si>
  <si>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</si>
  <si>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</si>
  <si>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</si>
  <si>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</si>
  <si>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</si>
  <si>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</si>
  <si>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</si>
  <si>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</si>
  <si>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</si>
  <si>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</si>
  <si>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</si>
  <si>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</si>
  <si>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</si>
  <si>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</si>
  <si>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</si>
  <si>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</si>
  <si>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</si>
  <si>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</si>
  <si>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</si>
  <si>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</si>
  <si>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</si>
  <si>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BE CONSISTANT WITH UNITS!</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</si>
  <si>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</si>
  <si>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</si>
  <si>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</si>
  <si>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</si>
  <si>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</si>
  <si>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</si>
  <si>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</si>
  <si>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</si>
  <si>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</si>
  <si>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</si>
  <si>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</si>
  <si>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</si>
  <si>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</si>
  <si>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</si>
  <si>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</si>
  <si>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</si>
  <si>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</si>
  <si>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</si>
  <si>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</si>
  <si>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</si>
  <si>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</si>
  <si>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</si>
  <si>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</si>
  <si>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</si>
  <si>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</si>
  <si>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</si>
  <si>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</si>
  <si>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</si>
  <si>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</si>
  <si>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</si>
  <si>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</si>
  <si>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</si>
  <si>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</si>
  <si>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</si>
  <si>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</si>
  <si>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</si>
  <si>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</si>
  <si>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</si>
  <si>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</si>
  <si>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</si>
  <si>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</si>
  <si>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</si>
  <si>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</si>
  <si>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</si>
  <si>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</si>
  <si>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</si>
  <si>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</si>
  <si>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</si>
  <si>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</si>
  <si>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</si>
  <si>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</si>
  <si>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</si>
  <si>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</si>
  <si>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</si>
  <si>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</si>
  <si>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</si>
  <si>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</si>
  <si>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</si>
  <si>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</si>
  <si>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</si>
  <si>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</si>
  <si>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</si>
  <si>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</si>
  <si>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</si>
  <si>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</si>
  <si>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</si>
  <si>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</si>
  <si>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</si>
  <si>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</si>
  <si>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</si>
  <si>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</si>
  <si>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</si>
  <si>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</si>
  <si>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</si>
  <si>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</si>
  <si>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</si>
  <si>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</si>
  <si>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</si>
  <si>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</si>
  <si>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</si>
  <si>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</si>
  <si>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</si>
  <si>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</si>
  <si>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</si>
  <si>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</si>
  <si>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</si>
  <si>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</si>
  <si>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</si>
  <si>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</si>
  <si>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</si>
  <si>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</si>
  <si>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</si>
  <si>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</si>
  <si>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</si>
  <si>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</si>
  <si>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</si>
  <si>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</si>
  <si>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</si>
  <si>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</si>
  <si>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</si>
  <si>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</si>
  <si>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</si>
  <si>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</si>
  <si>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</si>
  <si>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</si>
  <si>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</si>
  <si>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</si>
  <si>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</si>
  <si>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</si>
  <si>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</si>
  <si>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</si>
  <si>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</si>
  <si>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</si>
  <si>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</si>
  <si>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</si>
  <si>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Y servo</t>
  </si>
  <si>
    <t>offset from CS origin</t>
  </si>
  <si>
    <t>simply supported stiffness about Izz (N/mm)</t>
  </si>
  <si>
    <t>I width dimension of beam (mm^4)</t>
  </si>
  <si>
    <t>I height dimension of beam (mm^4)</t>
  </si>
  <si>
    <t>X axis</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</si>
  <si>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</si>
  <si>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</si>
  <si>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</si>
  <si>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</si>
  <si>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</si>
  <si>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</si>
  <si>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</si>
  <si>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</si>
  <si>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</si>
  <si>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</si>
  <si>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</si>
  <si>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</si>
  <si>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</si>
  <si>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</si>
  <si>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</si>
  <si>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</si>
  <si>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</si>
  <si>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Bridge</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</si>
  <si>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</si>
  <si>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</si>
  <si>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</si>
  <si>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</si>
  <si>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</si>
  <si>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</si>
  <si>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</si>
  <si>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Beam properties (rectangular tube, or round, else customize)</t>
  </si>
  <si>
    <t>Width (mm), ID or fraction of solid cylinder</t>
  </si>
  <si>
    <t>Height (mm), or OD</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</si>
  <si>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</si>
  <si>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</si>
  <si>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</si>
  <si>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</si>
  <si>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</si>
  <si>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</si>
  <si>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</si>
  <si>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</si>
  <si>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</si>
  <si>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</si>
  <si>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</si>
  <si>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</si>
  <si>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</si>
  <si>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</si>
  <si>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</si>
  <si>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</si>
  <si>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Notes:  Assume the bed is actually made from two sheets of plywood or aluminum bonded together with honeycomb (or foam) core.  For Ixx since most compliant near ends, assume 10xHeight</t>
  </si>
  <si>
    <t>X-axis</t>
  </si>
  <si>
    <t>Bed &amp; Frame</t>
  </si>
  <si>
    <t>Thing 8</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</si>
  <si>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</si>
  <si>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</si>
  <si>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</si>
  <si>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</si>
  <si>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</si>
  <si>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</si>
  <si>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</si>
  <si>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</si>
  <si>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</si>
  <si>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</si>
  <si>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</si>
  <si>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</si>
  <si>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</si>
  <si>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</si>
  <si>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</si>
  <si>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</si>
  <si>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</si>
  <si>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</si>
  <si>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</si>
  <si>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Extra length of actuator for mounting</t>
  </si>
  <si>
    <t>deleted unused "servo stiffness" cells from "Summary" worksheet and added Extra length of actuator for mounting to be added to servo position for calculating the stiffness of actuator in CS worksheets</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</si>
  <si>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</si>
  <si>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</si>
  <si>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</si>
  <si>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</si>
  <si>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</si>
  <si>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</si>
  <si>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</si>
  <si>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</si>
  <si>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error gains calculated based on 0.001 radians much more accurate than 0.01</t>
  </si>
  <si>
    <t>NOTE: because Z axis has bearing blocks fixed to Y carriage.</t>
  </si>
  <si>
    <t>servo</t>
  </si>
  <si>
    <t>Beam properties (rectangular tube)</t>
  </si>
  <si>
    <t>vertical column</t>
  </si>
  <si>
    <t>desk vertical motion carriage/table</t>
  </si>
  <si>
    <t>member 3</t>
  </si>
  <si>
    <t>Member 4</t>
  </si>
  <si>
    <t>Fir Softwood</t>
  </si>
  <si>
    <t>Iy height dimension of beam // nuetral axis (mm^4)</t>
  </si>
  <si>
    <t>Iz width dimension of beam // nuetral axis (mm^4)</t>
  </si>
  <si>
    <t>wood</t>
  </si>
  <si>
    <t>cantilever beam</t>
  </si>
  <si>
    <t>Ix height dimension of beam // nuetral axis (mm^4)</t>
  </si>
  <si>
    <t>Base member 3</t>
  </si>
  <si>
    <t>Ix width dimension of beam // nuetral axis (mm^4)</t>
  </si>
  <si>
    <t>Height (Y direction) (mm)</t>
  </si>
  <si>
    <t xml:space="preserve">Width (X direction) (mm) </t>
  </si>
  <si>
    <t>Cantilever beam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</si>
</sst>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s>
  <fonts count="24" x14ac:knownFonts="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family val="2"/>
      <scheme val="minor"/>
    </font>
    <font>
      <u/>
      <sz val="12"/>
      <color theme="10"/>
      <name val="Calibri"/>
      <family val="2"/>
      <scheme val="minor"/>
    </font>
    <font>
      <u/>
      <sz val="12"/>
      <color theme="11"/>
      <name val="Calibri"/>
      <family val="2"/>
      <scheme val="minor"/>
    </font>
    <font>
      <b/>
      <sz val="12"/>
      <color rgb="FFFF0000"/>
      <name val="Calibri"/>
      <family val="2"/>
      <scheme val="minor"/>
    </font>
    <font>
      <b/>
      <sz val="12"/>
      <name val="Calibri"/>
      <family val="2"/>
      <scheme val="minor"/>
    </font>
    <font>
      <b/>
      <i/>
      <sz val="12"/>
      <color theme="1"/>
      <name val="Calibri"/>
      <family val="2"/>
      <scheme val="minor"/>
    </font>
    <font>
      <sz val="12"/>
      <color theme="1"/>
      <name val="Calibri"/>
      <family val="2"/>
      <scheme val="minor"/>
    </font>
    <font>
      <b/>
      <sz val="12"/>
      <color rgb="FFFF0000"/>
      <name val="Calibri"/>
      <family val="2"/>
      <scheme val="minor"/>
    </font>
    <font>
      <b/>
      <sz val="16"/>
      <color rgb="FF0000FF"/>
      <name val="Calibri"/>
      <family val="2"/>
      <scheme val="minor"/>
    </font>
    <font>
      <b/>
      <sz val="18"/>
      <color rgb="FF0000FF"/>
      <name val="Calibri"/>
      <family val="2"/>
      <scheme val="minor"/>
    </font>
    <font>
      <b/>
      <i/>
      <sz val="12"/>
      <color rgb="FFFF0000"/>
      <name val="Calibri"/>
      <family val="2"/>
      <scheme val="minor"/>
    </font>
    <font>
      <b/>
      <sz val="20"/>
      <color theme="1"/>
      <name val="Calibri"/>
      <family val="2"/>
      <scheme val="minor"/>
    </font>
    <font>
      <b/>
      <sz val="20"/>
      <name val="Calibri"/>
      <family val="2"/>
      <scheme val="minor"/>
    </font>
    <font>
      <sz val="12"/>
      <color rgb="FF000000"/>
      <name val="Calibri"/>
      <family val="2"/>
      <scheme val="minor"/>
    </font>
    <font>
      <b/>
      <sz val="12"/>
      <color rgb="FF000000"/>
      <name val="Calibri"/>
      <family val="2"/>
      <scheme val="minor"/>
    </font>
    <font>
      <b/>
      <sz val="22"/>
      <color theme="1"/>
      <name val="Calibri"/>
      <family val="2"/>
      <scheme val="minor"/>
    </font>
    <font>
      <sz val="9"/>
      <color indexed="81"/>
      <name val="Calibri"/>
      <family val="2"/>
    </font>
    <font>
      <b/>
      <sz val="9"/>
      <color indexed="81"/>
      <name val="Calibri"/>
      <family val="2"/>
    </font>
    <font>
      <sz val="9"/>
      <color indexed="81"/>
      <name val="Tahoma"/>
      <family val="2"/>
    </font>
    <font>
      <b/>
      <sz val="9"/>
      <color indexed="81"/>
      <name val="Tahoma"/>
      <family val="2"/>
    </font>
  </fonts>
  <fills count="15">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00FF"/>
        <bgColor indexed="64"/>
      </patternFill>
    </fill>
    <fill>
      <patternFill patternType="solid">
        <fgColor rgb="FFFFFF00"/>
        <bgColor rgb="FF000000"/>
      </patternFill>
    </fill>
    <fill>
      <patternFill patternType="solid">
        <fgColor theme="8" tint="0.79998168889431442"/>
        <bgColor rgb="FF000000"/>
      </patternFill>
    </fill>
    <fill>
      <patternFill patternType="solid">
        <fgColor rgb="FFFFC000"/>
        <bgColor indexed="64"/>
      </patternFill>
    </fill>
    <fill>
      <patternFill patternType="solid">
        <fgColor theme="9" tint="-0.249977111117893"/>
        <bgColor indexed="64"/>
      </patternFill>
    </fill>
  </fills>
  <borders count="35">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241">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390">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0" fontId="0" fillId="2" borderId="0" xfId="0" applyFill="1"/>
    <xf numFmtId="165"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6" fontId="11" fillId="0" borderId="0" xfId="0" applyNumberFormat="1" applyFont="1"/>
    <xf numFmtId="166" fontId="11" fillId="0" borderId="0" xfId="173" applyNumberFormat="1" applyFont="1"/>
    <xf numFmtId="11" fontId="2" fillId="0" borderId="0" xfId="0" applyNumberFormat="1" applyFont="1"/>
    <xf numFmtId="165"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4"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8" fillId="2" borderId="1" xfId="0" applyFont="1" applyFill="1" applyBorder="1"/>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5" fontId="7" fillId="3" borderId="0" xfId="0" applyNumberFormat="1" applyFont="1" applyFill="1" applyAlignment="1">
      <alignment horizontal="center"/>
    </xf>
    <xf numFmtId="165" fontId="7" fillId="3" borderId="0" xfId="0" applyNumberFormat="1" applyFont="1" applyFill="1"/>
    <xf numFmtId="165"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4" fontId="7" fillId="3" borderId="9" xfId="0" applyNumberFormat="1" applyFont="1" applyFill="1" applyBorder="1"/>
    <xf numFmtId="0" fontId="7" fillId="0" borderId="9" xfId="0" applyFont="1" applyFill="1" applyBorder="1"/>
    <xf numFmtId="0" fontId="7" fillId="3" borderId="9" xfId="0" applyFont="1" applyFill="1" applyBorder="1"/>
    <xf numFmtId="164"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5" fontId="7" fillId="3" borderId="0" xfId="0" applyNumberFormat="1" applyFont="1" applyFill="1" applyAlignment="1">
      <alignment horizontal="center" vertical="center"/>
    </xf>
    <xf numFmtId="0" fontId="17" fillId="0" borderId="9" xfId="0" applyFont="1" applyBorder="1" applyAlignment="1">
      <alignment horizontal="right"/>
    </xf>
    <xf numFmtId="165" fontId="7" fillId="3" borderId="9" xfId="0" applyNumberFormat="1" applyFont="1" applyFill="1" applyBorder="1" applyAlignment="1">
      <alignment horizontal="center" vertical="center"/>
    </xf>
    <xf numFmtId="165" fontId="7" fillId="3" borderId="9" xfId="0" applyNumberFormat="1" applyFont="1" applyFill="1" applyBorder="1" applyAlignment="1">
      <alignment horizontal="center"/>
    </xf>
    <xf numFmtId="165"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5" fontId="7" fillId="3" borderId="1" xfId="0" applyNumberFormat="1" applyFont="1" applyFill="1" applyBorder="1"/>
    <xf numFmtId="165"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4"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8" fillId="0" borderId="0" xfId="0" applyFont="1"/>
    <xf numFmtId="0" fontId="8"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16" fillId="2" borderId="9" xfId="0" applyFont="1" applyFill="1" applyBorder="1" applyAlignment="1">
      <alignment horizontal="center" vertical="center" textRotation="90" wrapText="1"/>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0" fontId="7" fillId="2" borderId="0" xfId="0" applyFont="1" applyFill="1"/>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0" fontId="3" fillId="3" borderId="13" xfId="0" applyFont="1" applyFill="1" applyBorder="1" applyAlignment="1">
      <alignment horizontal="center" vertical="center"/>
    </xf>
    <xf numFmtId="0" fontId="18" fillId="3" borderId="13" xfId="0" applyFont="1" applyFill="1" applyBorder="1" applyAlignment="1">
      <alignment horizontal="right"/>
    </xf>
    <xf numFmtId="165" fontId="7" fillId="3" borderId="13" xfId="0" applyNumberFormat="1" applyFont="1" applyFill="1" applyBorder="1" applyAlignment="1">
      <alignment horizontal="center"/>
    </xf>
    <xf numFmtId="0" fontId="0" fillId="0" borderId="0" xfId="0" applyFill="1"/>
    <xf numFmtId="165" fontId="0" fillId="2" borderId="0" xfId="0" applyNumberFormat="1"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16" fillId="2" borderId="0" xfId="0" applyFont="1" applyFill="1" applyBorder="1" applyAlignment="1">
      <alignment horizontal="center" vertical="center" textRotation="90" wrapText="1"/>
    </xf>
    <xf numFmtId="0" fontId="4" fillId="0" borderId="0" xfId="0" applyFont="1" applyBorder="1" applyAlignment="1">
      <alignment horizontal="center" vertical="center" wrapText="1"/>
    </xf>
    <xf numFmtId="0" fontId="0" fillId="0" borderId="0" xfId="0" applyBorder="1"/>
    <xf numFmtId="164"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4" fontId="7" fillId="0" borderId="0" xfId="0" applyNumberFormat="1" applyFont="1" applyFill="1" applyBorder="1"/>
    <xf numFmtId="0" fontId="0" fillId="0" borderId="0" xfId="0" applyFill="1" applyBorder="1"/>
    <xf numFmtId="164"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0" fontId="7" fillId="0" borderId="13" xfId="0" applyFont="1" applyBorder="1" applyAlignment="1">
      <alignment horizontal="center"/>
    </xf>
    <xf numFmtId="11" fontId="7" fillId="2" borderId="13" xfId="0" applyNumberFormat="1" applyFont="1" applyFill="1" applyBorder="1"/>
    <xf numFmtId="170"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68" fontId="7"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7" fillId="3" borderId="13" xfId="0" applyNumberFormat="1" applyFont="1" applyFill="1" applyBorder="1"/>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8" fontId="7" fillId="6" borderId="13" xfId="0" applyNumberFormat="1" applyFont="1" applyFill="1" applyBorder="1"/>
    <xf numFmtId="168"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0" fontId="7" fillId="3" borderId="20" xfId="0" applyFont="1" applyFill="1" applyBorder="1"/>
    <xf numFmtId="11" fontId="7" fillId="3" borderId="20" xfId="0" applyNumberFormat="1" applyFont="1" applyFill="1" applyBorder="1"/>
    <xf numFmtId="0" fontId="3" fillId="0" borderId="27" xfId="0" applyFont="1" applyBorder="1" applyAlignment="1">
      <alignment horizontal="left"/>
    </xf>
    <xf numFmtId="168" fontId="7" fillId="2" borderId="20" xfId="0" applyNumberFormat="1" applyFont="1" applyFill="1" applyBorder="1"/>
    <xf numFmtId="0" fontId="3" fillId="0" borderId="19" xfId="0" applyFont="1" applyBorder="1"/>
    <xf numFmtId="11" fontId="7" fillId="2" borderId="20" xfId="0" applyNumberFormat="1" applyFont="1" applyFill="1" applyBorder="1"/>
    <xf numFmtId="0" fontId="0" fillId="0" borderId="17" xfId="0" applyBorder="1" applyAlignment="1"/>
    <xf numFmtId="11" fontId="7" fillId="0" borderId="17" xfId="0" applyNumberFormat="1" applyFont="1" applyBorder="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4" fillId="0" borderId="13" xfId="0" applyFont="1" applyFill="1" applyBorder="1"/>
    <xf numFmtId="11" fontId="7" fillId="7" borderId="20" xfId="0" applyNumberFormat="1" applyFont="1" applyFill="1" applyBorder="1"/>
    <xf numFmtId="0" fontId="7" fillId="7" borderId="13" xfId="0" applyFont="1" applyFill="1" applyBorder="1"/>
    <xf numFmtId="0" fontId="7" fillId="7" borderId="20" xfId="0" applyFont="1" applyFill="1" applyBorder="1"/>
    <xf numFmtId="1" fontId="8" fillId="0" borderId="17" xfId="0" applyNumberFormat="1" applyFont="1" applyBorder="1" applyAlignment="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0" fontId="17" fillId="0" borderId="13" xfId="0" applyFont="1" applyBorder="1" applyAlignment="1">
      <alignment horizontal="left" indent="1"/>
    </xf>
    <xf numFmtId="0" fontId="17" fillId="0" borderId="13" xfId="0" applyFont="1" applyBorder="1" applyAlignment="1">
      <alignment horizontal="left"/>
    </xf>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7" fillId="0" borderId="20" xfId="0" applyFont="1" applyBorder="1"/>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3" fillId="8" borderId="13" xfId="0" applyFont="1" applyFill="1" applyBorder="1"/>
    <xf numFmtId="0" fontId="3" fillId="8" borderId="17" xfId="0" applyFont="1" applyFill="1" applyBorder="1"/>
    <xf numFmtId="0" fontId="0" fillId="8" borderId="13" xfId="0" applyFill="1" applyBorder="1" applyAlignment="1">
      <alignment horizontal="left" indent="1"/>
    </xf>
    <xf numFmtId="0" fontId="7" fillId="8" borderId="17" xfId="0" applyFont="1" applyFill="1" applyBorder="1"/>
    <xf numFmtId="1" fontId="11" fillId="8" borderId="13" xfId="0" applyNumberFormat="1" applyFont="1" applyFill="1" applyBorder="1"/>
    <xf numFmtId="1" fontId="7" fillId="8" borderId="13" xfId="0" applyNumberFormat="1" applyFont="1" applyFill="1" applyBorder="1"/>
    <xf numFmtId="0" fontId="3" fillId="8" borderId="13" xfId="0" applyFont="1" applyFill="1" applyBorder="1" applyAlignment="1">
      <alignment horizontal="left"/>
    </xf>
    <xf numFmtId="0" fontId="0" fillId="8" borderId="13" xfId="0" applyFill="1" applyBorder="1" applyAlignment="1">
      <alignment horizontal="left"/>
    </xf>
    <xf numFmtId="11" fontId="3" fillId="8" borderId="13" xfId="0" applyNumberFormat="1" applyFont="1" applyFill="1" applyBorder="1"/>
    <xf numFmtId="11" fontId="7" fillId="8" borderId="13" xfId="0" applyNumberFormat="1" applyFont="1" applyFill="1" applyBorder="1"/>
    <xf numFmtId="0" fontId="0" fillId="8" borderId="14" xfId="0" applyFill="1" applyBorder="1" applyAlignment="1">
      <alignment horizontal="left" indent="1"/>
    </xf>
    <xf numFmtId="0" fontId="3" fillId="8" borderId="14" xfId="0" applyFont="1" applyFill="1" applyBorder="1"/>
    <xf numFmtId="11" fontId="8" fillId="0" borderId="13" xfId="0" applyNumberFormat="1" applyFont="1" applyBorder="1"/>
    <xf numFmtId="11" fontId="17" fillId="0" borderId="13" xfId="0" applyNumberFormat="1" applyFont="1" applyBorder="1" applyAlignment="1">
      <alignment horizontal="left"/>
    </xf>
    <xf numFmtId="0" fontId="0" fillId="9" borderId="0" xfId="0" applyFill="1"/>
    <xf numFmtId="0" fontId="3" fillId="9" borderId="0" xfId="0" applyFont="1" applyFill="1"/>
    <xf numFmtId="1" fontId="3" fillId="9" borderId="0" xfId="0" applyNumberFormat="1" applyFont="1" applyFill="1"/>
    <xf numFmtId="0" fontId="8" fillId="10" borderId="13" xfId="0" applyFont="1" applyFill="1" applyBorder="1"/>
    <xf numFmtId="11" fontId="8" fillId="5" borderId="13" xfId="0" applyNumberFormat="1" applyFont="1" applyFill="1" applyBorder="1"/>
    <xf numFmtId="11" fontId="7" fillId="11" borderId="13" xfId="0" applyNumberFormat="1" applyFont="1" applyFill="1" applyBorder="1"/>
    <xf numFmtId="1" fontId="18" fillId="0" borderId="13" xfId="0" applyNumberFormat="1" applyFont="1" applyBorder="1"/>
    <xf numFmtId="11" fontId="7" fillId="12" borderId="20" xfId="0" applyNumberFormat="1" applyFont="1" applyFill="1" applyBorder="1"/>
    <xf numFmtId="0" fontId="4" fillId="2" borderId="0" xfId="0" applyFont="1" applyFill="1"/>
    <xf numFmtId="1" fontId="8" fillId="14" borderId="0" xfId="0" applyNumberFormat="1" applyFont="1" applyFill="1"/>
    <xf numFmtId="0" fontId="11" fillId="2" borderId="13" xfId="0" applyFont="1" applyFill="1" applyBorder="1"/>
    <xf numFmtId="0" fontId="3" fillId="13" borderId="13" xfId="0" applyFont="1" applyFill="1" applyBorder="1"/>
    <xf numFmtId="167" fontId="18" fillId="0" borderId="13" xfId="0" applyNumberFormat="1" applyFont="1" applyBorder="1"/>
    <xf numFmtId="0" fontId="17" fillId="13" borderId="13" xfId="0" applyFont="1" applyFill="1" applyBorder="1" applyAlignment="1">
      <alignment horizontal="left" indent="1"/>
    </xf>
    <xf numFmtId="166" fontId="7" fillId="13" borderId="13" xfId="173" applyNumberFormat="1" applyFont="1" applyFill="1" applyBorder="1"/>
    <xf numFmtId="0" fontId="0" fillId="13" borderId="13" xfId="0" applyFill="1" applyBorder="1" applyAlignment="1">
      <alignment horizontal="left" indent="1"/>
    </xf>
    <xf numFmtId="1" fontId="7" fillId="13" borderId="13" xfId="0" applyNumberFormat="1" applyFont="1" applyFill="1" applyBorder="1"/>
    <xf numFmtId="0" fontId="7" fillId="13" borderId="13" xfId="0" applyFont="1" applyFill="1" applyBorder="1"/>
    <xf numFmtId="1" fontId="3" fillId="0" borderId="13" xfId="0" applyNumberFormat="1" applyFont="1" applyFill="1" applyBorder="1"/>
    <xf numFmtId="1" fontId="3" fillId="7" borderId="13" xfId="0" applyNumberFormat="1" applyFont="1" applyFill="1" applyBorder="1"/>
    <xf numFmtId="1" fontId="4" fillId="0" borderId="13" xfId="0" applyNumberFormat="1" applyFont="1" applyBorder="1"/>
    <xf numFmtId="1" fontId="0" fillId="0" borderId="20" xfId="0" applyNumberFormat="1" applyBorder="1"/>
    <xf numFmtId="11" fontId="7" fillId="13" borderId="13" xfId="0" applyNumberFormat="1" applyFont="1" applyFill="1" applyBorder="1"/>
    <xf numFmtId="11" fontId="4" fillId="13" borderId="13" xfId="0" applyNumberFormat="1" applyFont="1" applyFill="1" applyBorder="1"/>
    <xf numFmtId="11" fontId="7" fillId="13" borderId="20" xfId="0" applyNumberFormat="1" applyFont="1" applyFill="1" applyBorder="1"/>
    <xf numFmtId="0" fontId="0" fillId="9" borderId="0" xfId="0" applyFill="1" applyAlignment="1">
      <alignment horizontal="center"/>
    </xf>
    <xf numFmtId="0" fontId="3" fillId="0" borderId="0" xfId="0" applyFont="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vertical="center"/>
    </xf>
    <xf numFmtId="0" fontId="3" fillId="0" borderId="0" xfId="0" applyFont="1" applyAlignment="1">
      <alignment horizontal="center"/>
    </xf>
    <xf numFmtId="0" fontId="3" fillId="3" borderId="13" xfId="0" applyFont="1" applyFill="1" applyBorder="1" applyAlignment="1">
      <alignment horizontal="center"/>
    </xf>
    <xf numFmtId="0" fontId="3" fillId="3" borderId="13" xfId="0" applyFont="1" applyFill="1" applyBorder="1" applyAlignment="1">
      <alignment horizontal="center" vertic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9" fillId="0" borderId="0" xfId="0" applyFont="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16" fillId="2" borderId="14" xfId="0" applyFont="1" applyFill="1" applyBorder="1" applyAlignment="1">
      <alignment horizontal="center" vertical="center" textRotation="90"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3" fillId="0" borderId="0" xfId="0" applyFont="1" applyBorder="1" applyAlignment="1">
      <alignment horizontal="center"/>
    </xf>
    <xf numFmtId="0" fontId="13" fillId="0" borderId="0" xfId="0" applyFont="1" applyAlignment="1">
      <alignment horizontal="center" vertical="center" wrapText="1"/>
    </xf>
    <xf numFmtId="0" fontId="0" fillId="0" borderId="0" xfId="0" applyAlignment="1">
      <alignment horizontal="center" wrapText="1"/>
    </xf>
    <xf numFmtId="0" fontId="12" fillId="0" borderId="0" xfId="0" applyFont="1" applyAlignment="1">
      <alignment horizontal="center" vertical="center" wrapText="1"/>
    </xf>
    <xf numFmtId="0" fontId="16" fillId="2" borderId="3" xfId="0" applyFont="1" applyFill="1" applyBorder="1" applyAlignment="1">
      <alignment horizontal="center" vertical="center" textRotation="90" wrapText="1"/>
    </xf>
    <xf numFmtId="0" fontId="16" fillId="2" borderId="1"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3" fillId="4" borderId="0" xfId="0" applyFont="1" applyFill="1" applyAlignment="1">
      <alignment horizontal="center"/>
    </xf>
    <xf numFmtId="0" fontId="9" fillId="4" borderId="0" xfId="0" applyFont="1" applyFill="1" applyAlignment="1">
      <alignment horizontal="center"/>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3" fillId="0" borderId="13" xfId="0" applyFont="1" applyBorder="1" applyAlignment="1">
      <alignment horizontal="center" vertic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xf>
    <xf numFmtId="0" fontId="17" fillId="0" borderId="33" xfId="0" applyFont="1" applyBorder="1" applyAlignment="1">
      <alignment horizontal="left"/>
    </xf>
    <xf numFmtId="0" fontId="17" fillId="0" borderId="34" xfId="0" applyFont="1" applyBorder="1" applyAlignment="1">
      <alignment horizontal="left"/>
    </xf>
    <xf numFmtId="0" fontId="18" fillId="0" borderId="13" xfId="0" applyFont="1" applyBorder="1" applyAlignment="1">
      <alignment horizontal="center" vertical="center"/>
    </xf>
    <xf numFmtId="0" fontId="18" fillId="0" borderId="20"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1" fontId="3" fillId="0" borderId="20" xfId="0" applyNumberFormat="1" applyFont="1" applyFill="1" applyBorder="1"/>
    <xf numFmtId="48" fontId="7" fillId="2" borderId="13" xfId="0" applyNumberFormat="1" applyFont="1" applyFill="1" applyBorder="1"/>
    <xf numFmtId="48" fontId="7" fillId="2" borderId="20" xfId="0" applyNumberFormat="1" applyFont="1" applyFill="1" applyBorder="1"/>
  </cellXfs>
  <cellStyles count="1241">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9.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emf"/><Relationship Id="rId1" Type="http://schemas.openxmlformats.org/officeDocument/2006/relationships/image" Target="../media/image3.wmf"/><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84668</xdr:colOff>
      <xdr:row>12</xdr:row>
      <xdr:rowOff>50801</xdr:rowOff>
    </xdr:from>
    <xdr:to>
      <xdr:col>9</xdr:col>
      <xdr:colOff>203200</xdr:colOff>
      <xdr:row>17</xdr:row>
      <xdr:rowOff>169334</xdr:rowOff>
    </xdr:to>
    <xdr:pic>
      <xdr:nvPicPr>
        <xdr:cNvPr id="4" name="Picture 3"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7924801" y="2319868"/>
          <a:ext cx="3437466" cy="1049866"/>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14</xdr:col>
      <xdr:colOff>0</xdr:colOff>
      <xdr:row>5</xdr:row>
      <xdr:rowOff>0</xdr:rowOff>
    </xdr:from>
    <xdr:to>
      <xdr:col>30</xdr:col>
      <xdr:colOff>760165</xdr:colOff>
      <xdr:row>15</xdr:row>
      <xdr:rowOff>149679</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08679" y="1020536"/>
          <a:ext cx="14258450" cy="2190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16934</xdr:colOff>
      <xdr:row>10</xdr:row>
      <xdr:rowOff>84667</xdr:rowOff>
    </xdr:from>
    <xdr:to>
      <xdr:col>9</xdr:col>
      <xdr:colOff>169333</xdr:colOff>
      <xdr:row>15</xdr:row>
      <xdr:rowOff>169331</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527"/>
        <a:stretch/>
      </xdr:blipFill>
      <xdr:spPr bwMode="auto">
        <a:xfrm>
          <a:off x="8466667" y="1981200"/>
          <a:ext cx="3471333" cy="1015998"/>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4</xdr:col>
      <xdr:colOff>67235</xdr:colOff>
      <xdr:row>13</xdr:row>
      <xdr:rowOff>201705</xdr:rowOff>
    </xdr:from>
    <xdr:to>
      <xdr:col>12</xdr:col>
      <xdr:colOff>742576</xdr:colOff>
      <xdr:row>22</xdr:row>
      <xdr:rowOff>271680</xdr:rowOff>
    </xdr:to>
    <xdr:pic>
      <xdr:nvPicPr>
        <xdr:cNvPr id="3" name="Picture 2" descr="Macintosh HD:Users:slocum:Dropbox (MIT):2.70 2016:Lectures in addition to FUNdaMENTALs:Error budget spreadsheet drawings:force moment beam equations.jpg">
          <a:extLst>
            <a:ext uri="{FF2B5EF4-FFF2-40B4-BE49-F238E27FC236}">
              <a16:creationId xmlns:a16="http://schemas.microsoft.com/office/drawing/2014/main" id="{787BD73E-5C88-40AA-8CED-0AFE36188606}"/>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8516470" y="2846293"/>
          <a:ext cx="6121400" cy="1896534"/>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4</xdr:col>
      <xdr:colOff>127000</xdr:colOff>
      <xdr:row>10</xdr:row>
      <xdr:rowOff>114300</xdr:rowOff>
    </xdr:from>
    <xdr:to>
      <xdr:col>11</xdr:col>
      <xdr:colOff>914400</xdr:colOff>
      <xdr:row>22</xdr:row>
      <xdr:rowOff>304800</xdr:rowOff>
    </xdr:to>
    <xdr:pic>
      <xdr:nvPicPr>
        <xdr:cNvPr id="4" name="Picture 3" descr="Macintosh HD:Users:slocum:Dropbox (MIT):2.70 2016:Lectures in addition to FUNdaMENTALs:Error budget spreadsheet drawings:force moment beam equations.jpg">
          <a:extLst>
            <a:ext uri="{FF2B5EF4-FFF2-40B4-BE49-F238E27FC236}">
              <a16:creationId xmlns:a16="http://schemas.microsoft.com/office/drawing/2014/main" id="{AB26734E-8DCC-466C-86D1-24A9CBD9D74F}"/>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7527"/>
        <a:stretch/>
      </xdr:blipFill>
      <xdr:spPr bwMode="auto">
        <a:xfrm>
          <a:off x="9182100" y="2171700"/>
          <a:ext cx="7442200" cy="2654300"/>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5</xdr:col>
      <xdr:colOff>101600</xdr:colOff>
      <xdr:row>13</xdr:row>
      <xdr:rowOff>152400</xdr:rowOff>
    </xdr:from>
    <xdr:to>
      <xdr:col>10</xdr:col>
      <xdr:colOff>647700</xdr:colOff>
      <xdr:row>22</xdr:row>
      <xdr:rowOff>342900</xdr:rowOff>
    </xdr:to>
    <xdr:pic>
      <xdr:nvPicPr>
        <xdr:cNvPr id="3" name="Picture 2" descr="Macintosh HD:Users:slocum:Dropbox (MIT):2.70 2016:Lectures in addition to FUNdaMENTALs:Error budget spreadsheet drawings:force moment beam equations.jpg">
          <a:extLst>
            <a:ext uri="{FF2B5EF4-FFF2-40B4-BE49-F238E27FC236}">
              <a16:creationId xmlns:a16="http://schemas.microsoft.com/office/drawing/2014/main" id="{D187FC54-702A-4B4A-AD95-FE3F5FD91D89}"/>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9626600" y="2819400"/>
          <a:ext cx="5143500" cy="2044700"/>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67733</xdr:colOff>
      <xdr:row>12</xdr:row>
      <xdr:rowOff>194733</xdr:rowOff>
    </xdr:from>
    <xdr:to>
      <xdr:col>9</xdr:col>
      <xdr:colOff>777663</xdr:colOff>
      <xdr:row>22</xdr:row>
      <xdr:rowOff>190499</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891"/>
        <a:stretch/>
      </xdr:blipFill>
      <xdr:spPr bwMode="auto">
        <a:xfrm>
          <a:off x="9707033" y="2658533"/>
          <a:ext cx="5142230" cy="2053166"/>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a:extLst>
            <a:ext uri="{FF2B5EF4-FFF2-40B4-BE49-F238E27FC236}">
              <a16:creationId xmlns:a16="http://schemas.microsoft.com/office/drawing/2014/main" id="{00000000-0008-0000-09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a:extLst>
            <a:ext uri="{FF2B5EF4-FFF2-40B4-BE49-F238E27FC236}">
              <a16:creationId xmlns:a16="http://schemas.microsoft.com/office/drawing/2014/main" id="{00000000-0008-0000-0D00-00001D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topLeftCell="A9" zoomScaleNormal="100" zoomScalePageLayoutView="125" workbookViewId="0">
      <selection activeCell="K10" sqref="K10"/>
    </sheetView>
  </sheetViews>
  <sheetFormatPr defaultColWidth="11" defaultRowHeight="15.75" x14ac:dyDescent="0.25"/>
  <cols>
    <col min="2" max="2" width="19" customWidth="1"/>
    <col min="3" max="3" width="12.125" customWidth="1"/>
    <col min="4" max="4" width="13.5" customWidth="1"/>
    <col min="5" max="5" width="18.875" customWidth="1"/>
    <col min="7" max="7" width="18.625" customWidth="1"/>
    <col min="8" max="8" width="19.5" customWidth="1"/>
    <col min="9" max="9" width="8.875" customWidth="1"/>
    <col min="10" max="10" width="5.5" customWidth="1"/>
    <col min="11" max="11" width="8.5" customWidth="1"/>
    <col min="12" max="12" width="18.875" customWidth="1"/>
    <col min="14" max="14" width="12.375" bestFit="1" customWidth="1"/>
    <col min="15" max="15" width="11.125" bestFit="1" customWidth="1"/>
    <col min="16" max="16" width="9.5" customWidth="1"/>
    <col min="17" max="17" width="14.5" customWidth="1"/>
  </cols>
  <sheetData>
    <row r="1" spans="1:20" x14ac:dyDescent="0.25">
      <c r="A1" s="319" t="s">
        <v>202</v>
      </c>
      <c r="B1" s="319"/>
      <c r="C1" s="319"/>
      <c r="D1" s="319"/>
      <c r="E1" s="319"/>
      <c r="F1" s="319"/>
      <c r="G1" s="319"/>
    </row>
    <row r="2" spans="1:20" x14ac:dyDescent="0.25">
      <c r="A2" s="319" t="s">
        <v>159</v>
      </c>
      <c r="B2" s="319"/>
      <c r="C2" s="319"/>
      <c r="D2" s="319"/>
      <c r="E2" s="319"/>
      <c r="F2" s="319"/>
      <c r="G2" s="319"/>
    </row>
    <row r="3" spans="1:20" ht="15" customHeight="1" x14ac:dyDescent="0.25">
      <c r="A3" s="319" t="s">
        <v>387</v>
      </c>
      <c r="B3" s="319"/>
      <c r="C3" s="319"/>
      <c r="D3" s="319"/>
      <c r="E3" s="319"/>
      <c r="F3" s="319"/>
      <c r="G3" s="319"/>
      <c r="I3" s="316" t="s">
        <v>203</v>
      </c>
      <c r="J3" s="316"/>
      <c r="K3" s="316"/>
      <c r="L3" s="316"/>
      <c r="M3" s="316"/>
      <c r="N3" s="316"/>
      <c r="O3" s="316"/>
    </row>
    <row r="4" spans="1:20" x14ac:dyDescent="0.25">
      <c r="A4" s="23"/>
      <c r="B4" s="23"/>
      <c r="C4" s="23"/>
      <c r="D4" s="23"/>
      <c r="E4" s="23"/>
      <c r="F4" s="23"/>
      <c r="G4" s="23"/>
      <c r="I4" s="316"/>
      <c r="J4" s="316"/>
      <c r="K4" s="316"/>
      <c r="L4" s="316"/>
      <c r="M4" s="316"/>
      <c r="N4" s="316"/>
      <c r="O4" s="316"/>
    </row>
    <row r="5" spans="1:20" x14ac:dyDescent="0.25">
      <c r="A5" s="47" t="s">
        <v>171</v>
      </c>
      <c r="B5" s="76" t="s">
        <v>225</v>
      </c>
      <c r="C5" s="47" t="s">
        <v>170</v>
      </c>
      <c r="D5" s="76" t="s">
        <v>160</v>
      </c>
      <c r="E5" s="326" t="s">
        <v>161</v>
      </c>
      <c r="F5" s="326"/>
      <c r="G5" s="326"/>
      <c r="I5" s="316"/>
      <c r="J5" s="316"/>
      <c r="K5" s="316"/>
      <c r="L5" s="316"/>
      <c r="M5" s="316"/>
      <c r="N5" s="316"/>
      <c r="O5" s="316"/>
    </row>
    <row r="6" spans="1:20" x14ac:dyDescent="0.25">
      <c r="A6" s="322" t="s">
        <v>164</v>
      </c>
      <c r="B6" s="322"/>
      <c r="C6" s="35" t="s">
        <v>163</v>
      </c>
      <c r="D6" s="1" t="s">
        <v>196</v>
      </c>
      <c r="I6" s="316"/>
      <c r="J6" s="316"/>
      <c r="K6" s="316"/>
      <c r="L6" s="316"/>
      <c r="M6" s="316"/>
      <c r="N6" s="316"/>
      <c r="O6" s="316"/>
    </row>
    <row r="7" spans="1:20" x14ac:dyDescent="0.25">
      <c r="A7" s="322" t="s">
        <v>165</v>
      </c>
      <c r="B7" s="322"/>
      <c r="C7" s="44" t="s">
        <v>166</v>
      </c>
      <c r="I7" t="s">
        <v>194</v>
      </c>
    </row>
    <row r="8" spans="1:20" x14ac:dyDescent="0.25">
      <c r="A8" s="34" t="s">
        <v>169</v>
      </c>
      <c r="B8" s="34"/>
      <c r="C8" s="10"/>
      <c r="I8" s="290" t="s">
        <v>195</v>
      </c>
      <c r="J8" s="290" t="s">
        <v>128</v>
      </c>
      <c r="K8" s="290" t="s">
        <v>0</v>
      </c>
      <c r="L8" s="290" t="s">
        <v>313</v>
      </c>
      <c r="M8" s="315" t="s">
        <v>385</v>
      </c>
      <c r="N8" s="315"/>
      <c r="O8" s="315"/>
    </row>
    <row r="9" spans="1:20" x14ac:dyDescent="0.25">
      <c r="A9" s="34" t="s">
        <v>169</v>
      </c>
      <c r="B9" s="34"/>
      <c r="C9" s="10"/>
      <c r="I9" s="291" t="s">
        <v>312</v>
      </c>
      <c r="J9" s="291">
        <v>1</v>
      </c>
      <c r="K9" s="291">
        <v>400</v>
      </c>
      <c r="L9" s="291">
        <v>50</v>
      </c>
      <c r="M9" s="292">
        <v>50</v>
      </c>
      <c r="N9" s="290"/>
      <c r="O9" s="290"/>
      <c r="T9" s="26"/>
    </row>
    <row r="10" spans="1:20" x14ac:dyDescent="0.25">
      <c r="A10" s="34"/>
      <c r="B10" s="34"/>
      <c r="C10" s="10"/>
    </row>
    <row r="11" spans="1:20" ht="15.95" customHeight="1" thickBot="1" x14ac:dyDescent="0.3">
      <c r="A11" s="34"/>
      <c r="B11" s="34"/>
      <c r="C11" s="10"/>
      <c r="N11" s="317" t="s">
        <v>396</v>
      </c>
      <c r="O11" s="317"/>
    </row>
    <row r="12" spans="1:20" x14ac:dyDescent="0.25">
      <c r="A12" s="323" t="s">
        <v>156</v>
      </c>
      <c r="B12" s="320" t="s">
        <v>168</v>
      </c>
      <c r="C12" s="320"/>
      <c r="D12" s="320"/>
      <c r="E12" s="320"/>
      <c r="F12" s="320"/>
      <c r="G12" s="320"/>
      <c r="I12" s="13"/>
      <c r="J12" s="13"/>
      <c r="K12" s="13"/>
      <c r="L12" s="13"/>
      <c r="M12" s="13"/>
      <c r="N12" s="317"/>
      <c r="O12" s="317"/>
    </row>
    <row r="13" spans="1:20" ht="15" customHeight="1" x14ac:dyDescent="0.25">
      <c r="A13" s="324"/>
      <c r="B13" s="104" t="s">
        <v>167</v>
      </c>
      <c r="C13" s="320" t="s">
        <v>264</v>
      </c>
      <c r="D13" s="320"/>
      <c r="E13" s="320"/>
      <c r="F13" s="320"/>
      <c r="G13" s="321" t="s">
        <v>153</v>
      </c>
      <c r="I13" s="13"/>
      <c r="J13" s="13"/>
      <c r="K13" s="13"/>
      <c r="L13" s="13"/>
      <c r="M13" s="13"/>
      <c r="N13" s="317"/>
      <c r="O13" s="317"/>
    </row>
    <row r="14" spans="1:20" x14ac:dyDescent="0.25">
      <c r="A14" s="324"/>
      <c r="B14" s="105">
        <f>Naxes</f>
        <v>4</v>
      </c>
      <c r="C14" s="320" t="s">
        <v>109</v>
      </c>
      <c r="D14" s="320"/>
      <c r="E14" s="320"/>
      <c r="F14" s="106" t="s">
        <v>110</v>
      </c>
      <c r="G14" s="321"/>
      <c r="I14" s="13"/>
      <c r="J14" s="13"/>
      <c r="K14" s="13"/>
      <c r="L14" s="13"/>
      <c r="M14" s="13"/>
      <c r="N14" s="317"/>
      <c r="O14" s="317"/>
    </row>
    <row r="15" spans="1:20" x14ac:dyDescent="0.25">
      <c r="A15" s="324"/>
      <c r="B15" s="107"/>
      <c r="C15" s="108" t="s">
        <v>151</v>
      </c>
      <c r="D15" s="108" t="s">
        <v>7</v>
      </c>
      <c r="E15" s="108" t="s">
        <v>154</v>
      </c>
      <c r="F15" s="106" t="s">
        <v>151</v>
      </c>
      <c r="G15" s="106" t="s">
        <v>151</v>
      </c>
      <c r="I15" s="13"/>
      <c r="J15" s="13"/>
      <c r="K15" s="13"/>
      <c r="L15" s="13"/>
      <c r="M15" s="13"/>
    </row>
    <row r="16" spans="1:20" x14ac:dyDescent="0.25">
      <c r="A16" s="324"/>
      <c r="B16" s="109" t="s">
        <v>84</v>
      </c>
      <c r="C16" s="110" t="e">
        <f>(C26*$A$27+C33*$A$34+C40*$A$41+C47*$A$48+C54*$A$55+C61*$A$62+C68*$A$69+C75*$A$76+C82*$A$83+C89*$A$90)</f>
        <v>#DIV/0!</v>
      </c>
      <c r="D16" s="110" t="e">
        <f>SQRT((C26*$A$27)^2+(C33*$A$34)^2+(C40*$A$41)^2+(C47*$A$48)^2+(C54*$A$55)^2+(C61*$A$62)^2+(C68*$A$69)^2+(C75*$A$76)^2+(C82*$A$83)^2+(C89*$A$90)^2)</f>
        <v>#DIV/0!</v>
      </c>
      <c r="E16" s="110" t="e">
        <f>(C16+D16)/2</f>
        <v>#DIV/0!</v>
      </c>
      <c r="F16" s="110" t="e">
        <f t="shared" ref="F16:G18" si="0">(D26*$A$27+D33*$A$34+D40*$A$41+D47*$A$48+D54*$A$55+D61*$A$62+D68*$A$69+D75*$A$76+D82*$A$83+D89*$A$90)</f>
        <v>#DIV/0!</v>
      </c>
      <c r="G16" s="110">
        <f t="shared" si="0"/>
        <v>1.1229608219500729</v>
      </c>
      <c r="H16" s="14"/>
      <c r="I16" s="13"/>
      <c r="J16" s="13"/>
      <c r="K16" s="13"/>
      <c r="L16" s="13"/>
      <c r="M16" s="13"/>
    </row>
    <row r="17" spans="1:20" x14ac:dyDescent="0.25">
      <c r="A17" s="324"/>
      <c r="B17" s="109" t="s">
        <v>112</v>
      </c>
      <c r="C17" s="110" t="e">
        <f>(C27*$A$27+C34*$A$34+C41*$A$41+C48*$A$48+C55*$A$55+C62*$A$62+C69*$A$69+C76*$A$76+C83*$A$83+C90*$A$90)</f>
        <v>#DIV/0!</v>
      </c>
      <c r="D17" s="110" t="e">
        <f>SQRT((C27*$A$27)^2+(C34*$A$34)^2+(C41*$A$41)^2+(C48*$A$48)^2+(C55*$A$55)^2+(C62*$A$62)^2+(C69*$A$69)^2+(C76*$A$76)^2+(C83*$A$83)^2+(C90*$A$90)^2)</f>
        <v>#DIV/0!</v>
      </c>
      <c r="E17" s="110" t="e">
        <f>(C17+D17)/2</f>
        <v>#DIV/0!</v>
      </c>
      <c r="F17" s="110" t="e">
        <f t="shared" si="0"/>
        <v>#DIV/0!</v>
      </c>
      <c r="G17" s="110">
        <f t="shared" si="0"/>
        <v>-2.5871901549770122</v>
      </c>
      <c r="H17" s="14">
        <f>'CSs and Loads'!C29*'CS_1 Y carriage and table'!B12^3/(3*'CS_1 Y carriage and table'!B7*'CS_1 Y carriage and table'!B18)</f>
        <v>-1.2167195745657393</v>
      </c>
      <c r="I17" s="13"/>
      <c r="J17" s="13"/>
      <c r="K17" s="13"/>
      <c r="L17" s="13"/>
      <c r="M17" s="13"/>
    </row>
    <row r="18" spans="1:20" x14ac:dyDescent="0.25">
      <c r="A18" s="324"/>
      <c r="B18" s="109" t="s">
        <v>113</v>
      </c>
      <c r="C18" s="110" t="e">
        <f>(C28*$A$27+C35*$A$34+C42*$A$41+C49*$A$48+C56*$A$55+C63*$A$62+C70*$A$69+C77*$A$76+C84*$A$83+C91*$A$90)</f>
        <v>#DIV/0!</v>
      </c>
      <c r="D18" s="110" t="e">
        <f>SQRT((C28*$A$27)^2+(C35*$A$34)^2+(C42*$A$41)^2+(C49*$A$48)^2+(C56*$A$55)^2+(C63*$A$62)^2+(C70*$A$69)^2+(C77*$A$76)^2+(C84*$A$83)^2+(C91*$A$90)^2)</f>
        <v>#DIV/0!</v>
      </c>
      <c r="E18" s="110" t="e">
        <f>(C18+D18)/2</f>
        <v>#DIV/0!</v>
      </c>
      <c r="F18" s="110" t="e">
        <f t="shared" si="0"/>
        <v>#DIV/0!</v>
      </c>
      <c r="G18" s="110">
        <f t="shared" si="0"/>
        <v>-9.311447875145093E-2</v>
      </c>
      <c r="H18" s="14"/>
      <c r="I18" s="13"/>
      <c r="J18" s="13"/>
      <c r="K18" s="13"/>
      <c r="L18" s="13"/>
      <c r="M18" s="13"/>
    </row>
    <row r="19" spans="1:20" ht="16.5" thickBot="1" x14ac:dyDescent="0.3">
      <c r="A19" s="325"/>
      <c r="B19" s="109" t="s">
        <v>157</v>
      </c>
      <c r="C19" s="110" t="e">
        <f>SQRT(C16^2+C17^2+C18^2)</f>
        <v>#DIV/0!</v>
      </c>
      <c r="D19" s="110" t="e">
        <f>SQRT(D16^2+D17^2+D18^2)</f>
        <v>#DIV/0!</v>
      </c>
      <c r="E19" s="110" t="e">
        <f>SQRT(E16^2+E17^2+E18^2)</f>
        <v>#DIV/0!</v>
      </c>
      <c r="F19" s="110" t="e">
        <f>SQRT(F16^2+F17^2+F18^2)</f>
        <v>#DIV/0!</v>
      </c>
      <c r="G19" s="110">
        <f>SQRT(G16^2+G17^2+G18^2)</f>
        <v>2.8219256212377237</v>
      </c>
      <c r="H19" s="14"/>
      <c r="I19" s="13"/>
      <c r="J19" s="13"/>
      <c r="K19" s="13"/>
      <c r="L19" s="13"/>
      <c r="M19" s="112"/>
    </row>
    <row r="20" spans="1:20" x14ac:dyDescent="0.25">
      <c r="A20" s="26"/>
      <c r="H20" s="14"/>
    </row>
    <row r="21" spans="1:20" x14ac:dyDescent="0.25">
      <c r="C21" s="1"/>
      <c r="D21" s="1"/>
    </row>
    <row r="22" spans="1:20" x14ac:dyDescent="0.25">
      <c r="C22" s="1"/>
      <c r="D22" s="1"/>
    </row>
    <row r="23" spans="1:20" x14ac:dyDescent="0.25">
      <c r="A23" s="23" t="s">
        <v>128</v>
      </c>
      <c r="B23" s="44" t="str">
        <f>'CSs and Loads'!A22</f>
        <v>desk vertical motion carriage/table</v>
      </c>
      <c r="C23" s="319" t="s">
        <v>152</v>
      </c>
      <c r="D23" s="319"/>
      <c r="E23" s="318" t="s">
        <v>153</v>
      </c>
    </row>
    <row r="24" spans="1:20" x14ac:dyDescent="0.25">
      <c r="A24" s="44">
        <v>1</v>
      </c>
      <c r="C24" s="26" t="s">
        <v>109</v>
      </c>
      <c r="D24" s="26" t="s">
        <v>110</v>
      </c>
      <c r="E24" s="318"/>
      <c r="F24" s="34" t="s">
        <v>136</v>
      </c>
      <c r="K24" s="34" t="s">
        <v>137</v>
      </c>
      <c r="P24" s="34" t="s">
        <v>150</v>
      </c>
    </row>
    <row r="25" spans="1:20" x14ac:dyDescent="0.25">
      <c r="A25" s="23" t="s">
        <v>155</v>
      </c>
      <c r="C25" s="27" t="s">
        <v>154</v>
      </c>
      <c r="D25" s="26" t="s">
        <v>151</v>
      </c>
      <c r="E25" s="26" t="s">
        <v>151</v>
      </c>
      <c r="G25" t="s">
        <v>88</v>
      </c>
      <c r="H25" s="7" t="s">
        <v>89</v>
      </c>
      <c r="I25" s="26" t="s">
        <v>90</v>
      </c>
      <c r="J25" s="26" t="s">
        <v>91</v>
      </c>
      <c r="L25" t="s">
        <v>88</v>
      </c>
      <c r="M25" s="7" t="s">
        <v>89</v>
      </c>
      <c r="N25" s="26" t="s">
        <v>90</v>
      </c>
      <c r="O25" s="26" t="s">
        <v>91</v>
      </c>
      <c r="Q25" t="s">
        <v>88</v>
      </c>
      <c r="R25" s="7" t="s">
        <v>89</v>
      </c>
      <c r="S25" s="26" t="s">
        <v>90</v>
      </c>
      <c r="T25" s="26" t="s">
        <v>91</v>
      </c>
    </row>
    <row r="26" spans="1:20" x14ac:dyDescent="0.25">
      <c r="A26" s="44" t="str">
        <f>IF('CSs and Loads'!A17=1,"yes","no")</f>
        <v>yes</v>
      </c>
      <c r="B26" s="70" t="s">
        <v>84</v>
      </c>
      <c r="C26" s="71">
        <f>((G26+H26+I26+J26)+SQRT(G26^2+H26^2+I26^2+J26^2))/2</f>
        <v>5.0372084958096646E-3</v>
      </c>
      <c r="D26" s="48">
        <f>L26+M26+N26+O26</f>
        <v>0</v>
      </c>
      <c r="E26" s="48">
        <f>Q26+R26+S26+T26</f>
        <v>2.3742547156855264E-4</v>
      </c>
      <c r="F26" s="70" t="s">
        <v>84</v>
      </c>
      <c r="G26" s="49">
        <f>'CSs and Loads'!T15</f>
        <v>5.0000000000000001E-3</v>
      </c>
      <c r="H26" s="49">
        <f>'CSs and Loads'!U15</f>
        <v>0</v>
      </c>
      <c r="I26" s="49">
        <f>'CSs and Loads'!V15</f>
        <v>5.5555550930977223E-5</v>
      </c>
      <c r="J26" s="49">
        <f>'CSs and Loads'!W15</f>
        <v>1.8518516976992375E-5</v>
      </c>
      <c r="K26" s="70" t="s">
        <v>84</v>
      </c>
      <c r="L26" s="49">
        <f>'CSs and Loads'!T22</f>
        <v>0</v>
      </c>
      <c r="M26" s="49">
        <f>'CSs and Loads'!U22</f>
        <v>0</v>
      </c>
      <c r="N26" s="49">
        <f>'CSs and Loads'!V22</f>
        <v>0</v>
      </c>
      <c r="O26" s="49">
        <f>'CSs and Loads'!W22</f>
        <v>0</v>
      </c>
      <c r="P26" s="70" t="s">
        <v>84</v>
      </c>
      <c r="Q26" s="49">
        <f>'CSs and Loads'!Y22</f>
        <v>0</v>
      </c>
      <c r="R26" s="49">
        <f>'CSs and Loads'!Z22</f>
        <v>0</v>
      </c>
      <c r="S26" s="49">
        <f>'CSs and Loads'!AA22</f>
        <v>0</v>
      </c>
      <c r="T26" s="49">
        <f>'CSs and Loads'!AB22</f>
        <v>2.3742547156855264E-4</v>
      </c>
    </row>
    <row r="27" spans="1:20" x14ac:dyDescent="0.25">
      <c r="A27" s="44">
        <f>'CSs and Loads'!A17</f>
        <v>1</v>
      </c>
      <c r="B27" s="70" t="s">
        <v>112</v>
      </c>
      <c r="C27" s="71">
        <f t="shared" ref="C27:C28" si="1">((G27+H27+I27+J27)+SQRT(G27^2+H27^2+I27^2+J27^2))/2</f>
        <v>3.9705018952257157E-2</v>
      </c>
      <c r="D27" s="48">
        <f t="shared" ref="D27:D28" si="2">L27+M27+N27+O27</f>
        <v>0</v>
      </c>
      <c r="E27" s="48">
        <f t="shared" ref="E27:E28" si="3">Q27+R27+S27+T27</f>
        <v>-1.7389223619838685</v>
      </c>
      <c r="F27" s="70" t="s">
        <v>112</v>
      </c>
      <c r="G27" s="49">
        <f>'CSs and Loads'!T16</f>
        <v>5.0000000000000001E-3</v>
      </c>
      <c r="H27" s="49">
        <f>'CSs and Loads'!U16</f>
        <v>0</v>
      </c>
      <c r="I27" s="49">
        <f>'CSs and Loads'!V16</f>
        <v>0</v>
      </c>
      <c r="J27" s="49">
        <f>'CSs and Loads'!W16</f>
        <v>3.7037030864197851E-2</v>
      </c>
      <c r="K27" s="70" t="s">
        <v>112</v>
      </c>
      <c r="L27" s="49">
        <f>'CSs and Loads'!T23</f>
        <v>0</v>
      </c>
      <c r="M27" s="49">
        <f>'CSs and Loads'!U23</f>
        <v>0</v>
      </c>
      <c r="N27" s="49">
        <f>'CSs and Loads'!V23</f>
        <v>0</v>
      </c>
      <c r="O27" s="49">
        <f>'CSs and Loads'!W23</f>
        <v>0</v>
      </c>
      <c r="P27" s="70" t="s">
        <v>112</v>
      </c>
      <c r="Q27" s="49">
        <f>'CSs and Loads'!Y23</f>
        <v>-1.2640714584608486</v>
      </c>
      <c r="R27" s="49">
        <f>'CSs and Loads'!Z23</f>
        <v>0</v>
      </c>
      <c r="S27" s="49">
        <f>'CSs and Loads'!AA23</f>
        <v>0</v>
      </c>
      <c r="T27" s="49">
        <f>'CSs and Loads'!AB23</f>
        <v>-0.47485090352302001</v>
      </c>
    </row>
    <row r="28" spans="1:20" s="52" customFormat="1" ht="16.5" thickBot="1" x14ac:dyDescent="0.3">
      <c r="B28" s="72" t="s">
        <v>113</v>
      </c>
      <c r="C28" s="73">
        <f t="shared" si="1"/>
        <v>0.11366731415418813</v>
      </c>
      <c r="D28" s="74">
        <f t="shared" si="2"/>
        <v>0</v>
      </c>
      <c r="E28" s="74">
        <f t="shared" si="3"/>
        <v>0</v>
      </c>
      <c r="F28" s="72" t="s">
        <v>113</v>
      </c>
      <c r="G28" s="75">
        <f>'CSs and Loads'!T17</f>
        <v>5.0000000000000001E-3</v>
      </c>
      <c r="H28" s="75">
        <f>'CSs and Loads'!U17</f>
        <v>0</v>
      </c>
      <c r="I28" s="75">
        <f>'CSs and Loads'!V17</f>
        <v>0.11111109259259376</v>
      </c>
      <c r="J28" s="75">
        <f>'CSs and Loads'!W17</f>
        <v>0</v>
      </c>
      <c r="K28" s="72" t="s">
        <v>113</v>
      </c>
      <c r="L28" s="75">
        <f>'CSs and Loads'!T24</f>
        <v>0</v>
      </c>
      <c r="M28" s="75">
        <f>'CSs and Loads'!U24</f>
        <v>0</v>
      </c>
      <c r="N28" s="75">
        <f>'CSs and Loads'!V24</f>
        <v>0</v>
      </c>
      <c r="O28" s="75">
        <f>'CSs and Loads'!W24</f>
        <v>0</v>
      </c>
      <c r="P28" s="72" t="s">
        <v>113</v>
      </c>
      <c r="Q28" s="75">
        <f>'CSs and Loads'!Y24</f>
        <v>0</v>
      </c>
      <c r="R28" s="75">
        <f>'CSs and Loads'!Z24</f>
        <v>0</v>
      </c>
      <c r="S28" s="75">
        <f>'CSs and Loads'!AA24</f>
        <v>0</v>
      </c>
      <c r="T28" s="75">
        <f>'CSs and Loads'!AB24</f>
        <v>0</v>
      </c>
    </row>
    <row r="29" spans="1:20" x14ac:dyDescent="0.25">
      <c r="B29" s="6"/>
      <c r="C29" s="22"/>
      <c r="D29" s="22"/>
      <c r="F29" s="6"/>
      <c r="K29" s="6"/>
      <c r="P29" s="6"/>
    </row>
    <row r="30" spans="1:20" x14ac:dyDescent="0.25">
      <c r="A30" s="23" t="s">
        <v>128</v>
      </c>
      <c r="B30" s="9" t="str">
        <f>'CSs and Loads'!A55</f>
        <v>vertical column</v>
      </c>
      <c r="C30" s="319" t="s">
        <v>152</v>
      </c>
      <c r="D30" s="319"/>
      <c r="E30" s="318" t="s">
        <v>153</v>
      </c>
    </row>
    <row r="31" spans="1:20" x14ac:dyDescent="0.25">
      <c r="A31" s="44">
        <f>A24+1</f>
        <v>2</v>
      </c>
      <c r="C31" s="26" t="s">
        <v>109</v>
      </c>
      <c r="D31" s="26" t="s">
        <v>110</v>
      </c>
      <c r="E31" s="318"/>
      <c r="F31" s="34" t="s">
        <v>136</v>
      </c>
      <c r="K31" s="34" t="s">
        <v>137</v>
      </c>
      <c r="P31" s="34" t="s">
        <v>150</v>
      </c>
    </row>
    <row r="32" spans="1:20" x14ac:dyDescent="0.25">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x14ac:dyDescent="0.25">
      <c r="A33" s="44" t="str">
        <f>IF('CSs and Loads'!A50=1,"yes","no")</f>
        <v>yes</v>
      </c>
      <c r="B33" s="70" t="s">
        <v>84</v>
      </c>
      <c r="C33" s="71">
        <f>((G33+H33+I33+J33)+SQRT(G33^2+H33^2+I33^2+J33^2))/2</f>
        <v>5.1883484352012725E-2</v>
      </c>
      <c r="D33" s="48">
        <f>L33+M33+N33+O33</f>
        <v>0</v>
      </c>
      <c r="E33" s="48">
        <f>Q33+R33+S33+T33</f>
        <v>0.20972138760398623</v>
      </c>
      <c r="F33" s="70" t="s">
        <v>84</v>
      </c>
      <c r="G33" s="49">
        <f>'CSs and Loads'!T48</f>
        <v>5.0000000000000001E-3</v>
      </c>
      <c r="H33" s="49">
        <f>'CSs and Loads'!U48</f>
        <v>0</v>
      </c>
      <c r="I33" s="49">
        <f>'CSs and Loads'!V48</f>
        <v>2.952755630654733E-5</v>
      </c>
      <c r="J33" s="49">
        <f>'CSs and Loads'!W48</f>
        <v>4.9242117779691542E-2</v>
      </c>
      <c r="K33" s="70" t="s">
        <v>84</v>
      </c>
      <c r="L33" s="49">
        <f>'CSs and Loads'!T55</f>
        <v>0</v>
      </c>
      <c r="M33" s="49">
        <f>'CSs and Loads'!U55</f>
        <v>0</v>
      </c>
      <c r="N33" s="49">
        <f>'CSs and Loads'!V55</f>
        <v>0</v>
      </c>
      <c r="O33" s="49">
        <f>'CSs and Loads'!W55</f>
        <v>0</v>
      </c>
      <c r="P33" s="70" t="s">
        <v>84</v>
      </c>
      <c r="Q33" s="49">
        <f>'CSs and Loads'!Y55</f>
        <v>0.19491514264056012</v>
      </c>
      <c r="R33" s="49">
        <f>'CSs and Loads'!Z55</f>
        <v>0</v>
      </c>
      <c r="S33" s="49">
        <f>'CSs and Loads'!AA55</f>
        <v>0</v>
      </c>
      <c r="T33" s="49">
        <f>'CSs and Loads'!AB55</f>
        <v>1.4806244963426127E-2</v>
      </c>
    </row>
    <row r="34" spans="1:20" x14ac:dyDescent="0.25">
      <c r="A34" s="44">
        <f>'CSs and Loads'!A50</f>
        <v>1</v>
      </c>
      <c r="B34" s="70" t="s">
        <v>112</v>
      </c>
      <c r="C34" s="71">
        <f t="shared" ref="C34:C35" si="4">((G34+H34+I34+J34)+SQRT(G34^2+H34^2+I34^2+J34^2))/2</f>
        <v>6.1648495916511156E-2</v>
      </c>
      <c r="D34" s="48">
        <f t="shared" ref="D34:D35" si="5">L34+M34+N34+O34</f>
        <v>0</v>
      </c>
      <c r="E34" s="48">
        <f t="shared" ref="E34:E35" si="6">Q34+R34+S34+T34</f>
        <v>-1.8874731864544008E-2</v>
      </c>
      <c r="F34" s="70" t="s">
        <v>112</v>
      </c>
      <c r="G34" s="49">
        <f>'CSs and Loads'!T49</f>
        <v>5.0000000000000001E-3</v>
      </c>
      <c r="H34" s="49">
        <f>'CSs and Loads'!U49</f>
        <v>2.4606297164310745E-5</v>
      </c>
      <c r="I34" s="49">
        <f>'CSs and Loads'!V49</f>
        <v>0</v>
      </c>
      <c r="J34" s="49">
        <f>'CSs and Loads'!W49</f>
        <v>5.903050197055229E-2</v>
      </c>
      <c r="K34" s="70" t="s">
        <v>112</v>
      </c>
      <c r="L34" s="49">
        <f>'CSs and Loads'!T56</f>
        <v>0</v>
      </c>
      <c r="M34" s="49">
        <f>'CSs and Loads'!U56</f>
        <v>0</v>
      </c>
      <c r="N34" s="49">
        <f>'CSs and Loads'!V56</f>
        <v>0</v>
      </c>
      <c r="O34" s="49">
        <f>'CSs and Loads'!W56</f>
        <v>0</v>
      </c>
      <c r="P34" s="70" t="s">
        <v>112</v>
      </c>
      <c r="Q34" s="49">
        <f>'CSs and Loads'!Y56</f>
        <v>-1.1252906971198557E-3</v>
      </c>
      <c r="R34" s="49">
        <f>'CSs and Loads'!Z56</f>
        <v>0</v>
      </c>
      <c r="S34" s="49">
        <f>'CSs and Loads'!AA56</f>
        <v>0</v>
      </c>
      <c r="T34" s="49">
        <f>'CSs and Loads'!AB56</f>
        <v>-1.7749441167424152E-2</v>
      </c>
    </row>
    <row r="35" spans="1:20" s="52" customFormat="1" ht="16.5" thickBot="1" x14ac:dyDescent="0.3">
      <c r="B35" s="72" t="s">
        <v>113</v>
      </c>
      <c r="C35" s="73">
        <f t="shared" si="4"/>
        <v>9.5151328040018551E-2</v>
      </c>
      <c r="D35" s="74">
        <f t="shared" si="5"/>
        <v>0</v>
      </c>
      <c r="E35" s="74">
        <f t="shared" si="6"/>
        <v>0</v>
      </c>
      <c r="F35" s="72" t="s">
        <v>113</v>
      </c>
      <c r="G35" s="75">
        <f>'CSs and Loads'!T50</f>
        <v>5.0000000000000001E-3</v>
      </c>
      <c r="H35" s="75">
        <f>'CSs and Loads'!U50</f>
        <v>4.9212590223097555E-2</v>
      </c>
      <c r="I35" s="75">
        <f>'CSs and Loads'!V50</f>
        <v>5.9055107686465998E-2</v>
      </c>
      <c r="J35" s="75">
        <f>'CSs and Loads'!W50</f>
        <v>0</v>
      </c>
      <c r="K35" s="72" t="s">
        <v>113</v>
      </c>
      <c r="L35" s="75">
        <f>'CSs and Loads'!T57</f>
        <v>0</v>
      </c>
      <c r="M35" s="75">
        <f>'CSs and Loads'!U57</f>
        <v>0</v>
      </c>
      <c r="N35" s="75">
        <f>'CSs and Loads'!V57</f>
        <v>0</v>
      </c>
      <c r="O35" s="75">
        <f>'CSs and Loads'!W57</f>
        <v>0</v>
      </c>
      <c r="P35" s="72" t="s">
        <v>113</v>
      </c>
      <c r="Q35" s="75">
        <f>'CSs and Loads'!Y57</f>
        <v>0</v>
      </c>
      <c r="R35" s="75">
        <f>'CSs and Loads'!Z57</f>
        <v>0</v>
      </c>
      <c r="S35" s="75">
        <f>'CSs and Loads'!AA57</f>
        <v>0</v>
      </c>
      <c r="T35" s="75">
        <f>'CSs and Loads'!AB57</f>
        <v>0</v>
      </c>
    </row>
    <row r="37" spans="1:20" x14ac:dyDescent="0.25">
      <c r="A37" s="23" t="s">
        <v>128</v>
      </c>
      <c r="B37" s="9" t="str">
        <f>'CSs and Loads'!A88</f>
        <v>member 3</v>
      </c>
      <c r="C37" s="319" t="s">
        <v>152</v>
      </c>
      <c r="D37" s="319"/>
      <c r="E37" s="318" t="s">
        <v>153</v>
      </c>
    </row>
    <row r="38" spans="1:20" x14ac:dyDescent="0.25">
      <c r="A38" s="44">
        <f>A31+1</f>
        <v>3</v>
      </c>
      <c r="C38" s="26" t="s">
        <v>109</v>
      </c>
      <c r="D38" s="26" t="s">
        <v>110</v>
      </c>
      <c r="E38" s="318"/>
      <c r="F38" s="34" t="s">
        <v>136</v>
      </c>
      <c r="K38" s="34" t="s">
        <v>137</v>
      </c>
      <c r="P38" s="34" t="s">
        <v>150</v>
      </c>
    </row>
    <row r="39" spans="1:20" x14ac:dyDescent="0.25">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x14ac:dyDescent="0.25">
      <c r="A40" s="44" t="str">
        <f>IF('CSs and Loads'!A83=1,"yes","no")</f>
        <v>yes</v>
      </c>
      <c r="B40" s="70" t="s">
        <v>84</v>
      </c>
      <c r="C40" s="71">
        <f>((G40+H40+I40+J40)+SQRT(G40^2+H40^2+I40^2+J40^2))/2</f>
        <v>6.6897964141700045E-2</v>
      </c>
      <c r="D40" s="48">
        <f>L40+M40+N40+O40</f>
        <v>0</v>
      </c>
      <c r="E40" s="48">
        <f>Q40+R40+S40+T40</f>
        <v>0.91073070369837072</v>
      </c>
      <c r="F40" s="70" t="s">
        <v>84</v>
      </c>
      <c r="G40" s="49">
        <f>'CSs and Loads'!T81</f>
        <v>5.0000000000000001E-3</v>
      </c>
      <c r="H40" s="49">
        <f>'CSs and Loads'!U81</f>
        <v>0</v>
      </c>
      <c r="I40" s="49">
        <f>'CSs and Loads'!V81</f>
        <v>2.4379868042134843E-2</v>
      </c>
      <c r="J40" s="49">
        <f>'CSs and Loads'!W81</f>
        <v>4.9242116810358505E-2</v>
      </c>
      <c r="K40" s="70" t="s">
        <v>84</v>
      </c>
      <c r="L40" s="49">
        <f>'CSs and Loads'!T88</f>
        <v>0</v>
      </c>
      <c r="M40" s="49">
        <f>'CSs and Loads'!U88</f>
        <v>0</v>
      </c>
      <c r="N40" s="49">
        <f>'CSs and Loads'!V88</f>
        <v>0</v>
      </c>
      <c r="O40" s="49">
        <f>'CSs and Loads'!W88</f>
        <v>0</v>
      </c>
      <c r="P40" s="70" t="s">
        <v>84</v>
      </c>
      <c r="Q40" s="49">
        <f>'CSs and Loads'!Y88</f>
        <v>0</v>
      </c>
      <c r="R40" s="49">
        <f>'CSs and Loads'!Z88</f>
        <v>0</v>
      </c>
      <c r="S40" s="49">
        <f>'CSs and Loads'!AA88</f>
        <v>0</v>
      </c>
      <c r="T40" s="49">
        <f>'CSs and Loads'!AB88</f>
        <v>0.91073070369837072</v>
      </c>
    </row>
    <row r="41" spans="1:20" x14ac:dyDescent="0.25">
      <c r="A41" s="44">
        <f>'CSs and Loads'!A83</f>
        <v>1</v>
      </c>
      <c r="B41" s="70" t="s">
        <v>112</v>
      </c>
      <c r="C41" s="71">
        <f t="shared" ref="C41:C42" si="7">((G41+H41+I41+J41)+SQRT(G41^2+H41^2+I41^2+J41^2))/2</f>
        <v>8.3486024173628548E-2</v>
      </c>
      <c r="D41" s="48">
        <f t="shared" ref="D41:D42" si="8">L41+M41+N41+O41</f>
        <v>0</v>
      </c>
      <c r="E41" s="48">
        <f t="shared" ref="E41:E42" si="9">Q41+R41+S41+T41</f>
        <v>-1.1701136687724181</v>
      </c>
      <c r="F41" s="70" t="s">
        <v>112</v>
      </c>
      <c r="G41" s="49">
        <f>'CSs and Loads'!T82</f>
        <v>5.0000000000000001E-3</v>
      </c>
      <c r="H41" s="49">
        <f>'CSs and Loads'!U82</f>
        <v>3.4424206520184165E-2</v>
      </c>
      <c r="I41" s="49">
        <f>'CSs and Loads'!V82</f>
        <v>0</v>
      </c>
      <c r="J41" s="49">
        <f>'CSs and Loads'!W82</f>
        <v>5.9030500808534524E-2</v>
      </c>
      <c r="K41" s="70" t="s">
        <v>112</v>
      </c>
      <c r="L41" s="49">
        <f>'CSs and Loads'!T89</f>
        <v>0</v>
      </c>
      <c r="M41" s="49">
        <f>'CSs and Loads'!U89</f>
        <v>0</v>
      </c>
      <c r="N41" s="49">
        <f>'CSs and Loads'!V89</f>
        <v>0</v>
      </c>
      <c r="O41" s="49">
        <f>'CSs and Loads'!W89</f>
        <v>0</v>
      </c>
      <c r="P41" s="70" t="s">
        <v>112</v>
      </c>
      <c r="Q41" s="49">
        <f>'CSs and Loads'!Y89</f>
        <v>-1.8578581646031146E-2</v>
      </c>
      <c r="R41" s="49">
        <f>'CSs and Loads'!Z89</f>
        <v>-5.9768667984250894E-2</v>
      </c>
      <c r="S41" s="49">
        <f>'CSs and Loads'!AA89</f>
        <v>0</v>
      </c>
      <c r="T41" s="49">
        <f>'CSs and Loads'!AB89</f>
        <v>-1.0917664191421361</v>
      </c>
    </row>
    <row r="42" spans="1:20" s="52" customFormat="1" ht="16.5" thickBot="1" x14ac:dyDescent="0.3">
      <c r="B42" s="72" t="s">
        <v>113</v>
      </c>
      <c r="C42" s="73">
        <f t="shared" si="7"/>
        <v>8.0358115941285863E-2</v>
      </c>
      <c r="D42" s="74">
        <f t="shared" si="8"/>
        <v>0</v>
      </c>
      <c r="E42" s="74">
        <f t="shared" si="9"/>
        <v>-8.5474749139890546E-2</v>
      </c>
      <c r="F42" s="72" t="s">
        <v>113</v>
      </c>
      <c r="G42" s="75">
        <f>'CSs and Loads'!T83</f>
        <v>5.0000000000000001E-3</v>
      </c>
      <c r="H42" s="75">
        <f>'CSs and Loads'!U83</f>
        <v>4.9229814146566762E-2</v>
      </c>
      <c r="I42" s="75">
        <f>'CSs and Loads'!V83</f>
        <v>4.1746087202327392E-2</v>
      </c>
      <c r="J42" s="75">
        <f>'CSs and Loads'!W83</f>
        <v>0</v>
      </c>
      <c r="K42" s="72" t="s">
        <v>113</v>
      </c>
      <c r="L42" s="75">
        <f>'CSs and Loads'!T90</f>
        <v>0</v>
      </c>
      <c r="M42" s="75">
        <f>'CSs and Loads'!U90</f>
        <v>0</v>
      </c>
      <c r="N42" s="75">
        <f>'CSs and Loads'!V90</f>
        <v>0</v>
      </c>
      <c r="O42" s="75">
        <f>'CSs and Loads'!W90</f>
        <v>0</v>
      </c>
      <c r="P42" s="72" t="s">
        <v>113</v>
      </c>
      <c r="Q42" s="75">
        <f>'CSs and Loads'!Y90</f>
        <v>0</v>
      </c>
      <c r="R42" s="75">
        <f>'CSs and Loads'!Z90</f>
        <v>-8.5474749139890546E-2</v>
      </c>
      <c r="S42" s="75">
        <f>'CSs and Loads'!AA90</f>
        <v>0</v>
      </c>
      <c r="T42" s="75">
        <f>'CSs and Loads'!AB90</f>
        <v>0</v>
      </c>
    </row>
    <row r="44" spans="1:20" x14ac:dyDescent="0.25">
      <c r="A44" s="23" t="s">
        <v>128</v>
      </c>
      <c r="B44" s="9" t="str">
        <f>'CSs and Loads'!A121</f>
        <v>Member 4</v>
      </c>
      <c r="C44" s="319" t="s">
        <v>152</v>
      </c>
      <c r="D44" s="319"/>
      <c r="E44" s="318" t="s">
        <v>153</v>
      </c>
    </row>
    <row r="45" spans="1:20" x14ac:dyDescent="0.25">
      <c r="A45" s="44">
        <f>A38+1</f>
        <v>4</v>
      </c>
      <c r="C45" s="26" t="s">
        <v>109</v>
      </c>
      <c r="D45" s="26" t="s">
        <v>110</v>
      </c>
      <c r="E45" s="318"/>
      <c r="F45" s="34" t="s">
        <v>136</v>
      </c>
      <c r="K45" s="34" t="s">
        <v>137</v>
      </c>
      <c r="P45" s="34" t="s">
        <v>150</v>
      </c>
    </row>
    <row r="46" spans="1:20" x14ac:dyDescent="0.25">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x14ac:dyDescent="0.25">
      <c r="A47" s="44" t="str">
        <f>IF('CSs and Loads'!A116=1,"yes","no")</f>
        <v>yes</v>
      </c>
      <c r="B47" s="70" t="s">
        <v>84</v>
      </c>
      <c r="C47" s="71" t="e">
        <f>((G47+H47+I47+J47)+SQRT(G47^2+H47^2+I47^2+J47^2))/2</f>
        <v>#DIV/0!</v>
      </c>
      <c r="D47" s="48" t="e">
        <f>L47+M47+N47+O47</f>
        <v>#DIV/0!</v>
      </c>
      <c r="E47" s="48">
        <f>Q47+R47+S47+T47</f>
        <v>2.2713051761473891E-3</v>
      </c>
      <c r="F47" s="70" t="s">
        <v>84</v>
      </c>
      <c r="G47" s="49" t="e">
        <f>'CSs and Loads'!T114</f>
        <v>#DIV/0!</v>
      </c>
      <c r="H47" s="49" t="e">
        <f>'CSs and Loads'!U114</f>
        <v>#DIV/0!</v>
      </c>
      <c r="I47" s="49" t="e">
        <f>'CSs and Loads'!V114</f>
        <v>#DIV/0!</v>
      </c>
      <c r="J47" s="49" t="e">
        <f>'CSs and Loads'!W114</f>
        <v>#DIV/0!</v>
      </c>
      <c r="K47" s="70" t="s">
        <v>84</v>
      </c>
      <c r="L47" s="49" t="e">
        <f>'CSs and Loads'!T121</f>
        <v>#DIV/0!</v>
      </c>
      <c r="M47" s="49" t="e">
        <f>'CSs and Loads'!U121</f>
        <v>#DIV/0!</v>
      </c>
      <c r="N47" s="49" t="e">
        <f>'CSs and Loads'!V121</f>
        <v>#DIV/0!</v>
      </c>
      <c r="O47" s="49" t="e">
        <f>'CSs and Loads'!W121</f>
        <v>#DIV/0!</v>
      </c>
      <c r="P47" s="70" t="s">
        <v>84</v>
      </c>
      <c r="Q47" s="49">
        <f>'CSs and Loads'!Y121</f>
        <v>0</v>
      </c>
      <c r="R47" s="49">
        <f>'CSs and Loads'!Z121</f>
        <v>0</v>
      </c>
      <c r="S47" s="49">
        <f>'CSs and Loads'!AA121</f>
        <v>0</v>
      </c>
      <c r="T47" s="49">
        <f>'CSs and Loads'!AB121</f>
        <v>2.2713051761473891E-3</v>
      </c>
    </row>
    <row r="48" spans="1:20" x14ac:dyDescent="0.25">
      <c r="A48" s="44">
        <f>'CSs and Loads'!A116</f>
        <v>1</v>
      </c>
      <c r="B48" s="70" t="s">
        <v>112</v>
      </c>
      <c r="C48" s="71" t="e">
        <f t="shared" ref="C48:C49" si="10">((G48+H48+I48+J48)+SQRT(G48^2+H48^2+I48^2+J48^2))/2</f>
        <v>#DIV/0!</v>
      </c>
      <c r="D48" s="48" t="e">
        <f t="shared" ref="D48:D49" si="11">L48+M48+N48+O48</f>
        <v>#DIV/0!</v>
      </c>
      <c r="E48" s="48">
        <f t="shared" ref="E48:E49" si="12">Q48+R48+S48+T48</f>
        <v>0.34072060764381806</v>
      </c>
      <c r="F48" s="70" t="s">
        <v>112</v>
      </c>
      <c r="G48" s="49" t="e">
        <f>'CSs and Loads'!T115</f>
        <v>#DIV/0!</v>
      </c>
      <c r="H48" s="49" t="e">
        <f>'CSs and Loads'!U115</f>
        <v>#DIV/0!</v>
      </c>
      <c r="I48" s="49" t="e">
        <f>'CSs and Loads'!V115</f>
        <v>#DIV/0!</v>
      </c>
      <c r="J48" s="49" t="e">
        <f>'CSs and Loads'!W115</f>
        <v>#DIV/0!</v>
      </c>
      <c r="K48" s="70" t="s">
        <v>112</v>
      </c>
      <c r="L48" s="49" t="e">
        <f>'CSs and Loads'!T122</f>
        <v>#DIV/0!</v>
      </c>
      <c r="M48" s="49" t="e">
        <f>'CSs and Loads'!U122</f>
        <v>#DIV/0!</v>
      </c>
      <c r="N48" s="49" t="e">
        <f>'CSs and Loads'!V122</f>
        <v>#DIV/0!</v>
      </c>
      <c r="O48" s="49" t="e">
        <f>'CSs and Loads'!W122</f>
        <v>#DIV/0!</v>
      </c>
      <c r="P48" s="70" t="s">
        <v>112</v>
      </c>
      <c r="Q48" s="49">
        <f>'CSs and Loads'!Y122</f>
        <v>0.34651580883877353</v>
      </c>
      <c r="R48" s="49">
        <f>'CSs and Loads'!Z122</f>
        <v>-5.3421211204199102E-3</v>
      </c>
      <c r="S48" s="49">
        <f>'CSs and Loads'!AA122</f>
        <v>0</v>
      </c>
      <c r="T48" s="49">
        <f>'CSs and Loads'!AB122</f>
        <v>-4.530800745355589E-4</v>
      </c>
    </row>
    <row r="49" spans="1:20" s="52" customFormat="1" ht="16.5" thickBot="1" x14ac:dyDescent="0.3">
      <c r="B49" s="72" t="s">
        <v>113</v>
      </c>
      <c r="C49" s="73" t="e">
        <f t="shared" si="10"/>
        <v>#DIV/0!</v>
      </c>
      <c r="D49" s="74" t="e">
        <f t="shared" si="11"/>
        <v>#DIV/0!</v>
      </c>
      <c r="E49" s="74">
        <f t="shared" si="12"/>
        <v>-7.6397296115603879E-3</v>
      </c>
      <c r="F49" s="72" t="s">
        <v>113</v>
      </c>
      <c r="G49" s="75" t="e">
        <f>'CSs and Loads'!T116</f>
        <v>#DIV/0!</v>
      </c>
      <c r="H49" s="75" t="e">
        <f>'CSs and Loads'!U116</f>
        <v>#DIV/0!</v>
      </c>
      <c r="I49" s="75" t="e">
        <f>'CSs and Loads'!V116</f>
        <v>#DIV/0!</v>
      </c>
      <c r="J49" s="75" t="e">
        <f>'CSs and Loads'!W116</f>
        <v>#DIV/0!</v>
      </c>
      <c r="K49" s="72" t="s">
        <v>113</v>
      </c>
      <c r="L49" s="75" t="e">
        <f>'CSs and Loads'!T123</f>
        <v>#DIV/0!</v>
      </c>
      <c r="M49" s="75" t="e">
        <f>'CSs and Loads'!U123</f>
        <v>#DIV/0!</v>
      </c>
      <c r="N49" s="75" t="e">
        <f>'CSs and Loads'!V123</f>
        <v>#DIV/0!</v>
      </c>
      <c r="O49" s="75" t="e">
        <f>'CSs and Loads'!W123</f>
        <v>#DIV/0!</v>
      </c>
      <c r="P49" s="72" t="s">
        <v>113</v>
      </c>
      <c r="Q49" s="75">
        <f>'CSs and Loads'!Y123</f>
        <v>0</v>
      </c>
      <c r="R49" s="75">
        <f>'CSs and Loads'!Z123</f>
        <v>-7.6397296115603879E-3</v>
      </c>
      <c r="S49" s="75">
        <f>'CSs and Loads'!AA123</f>
        <v>0</v>
      </c>
      <c r="T49" s="75">
        <f>'CSs and Loads'!AB123</f>
        <v>0</v>
      </c>
    </row>
    <row r="51" spans="1:20" x14ac:dyDescent="0.25">
      <c r="A51" s="23" t="s">
        <v>128</v>
      </c>
      <c r="B51" s="9" t="str">
        <f>'CSs and Loads'!A154</f>
        <v>Bridge</v>
      </c>
      <c r="C51" s="319" t="s">
        <v>152</v>
      </c>
      <c r="D51" s="319"/>
      <c r="E51" s="318" t="s">
        <v>153</v>
      </c>
    </row>
    <row r="52" spans="1:20" x14ac:dyDescent="0.25">
      <c r="A52" s="44">
        <f>A45+1</f>
        <v>5</v>
      </c>
      <c r="C52" s="26" t="s">
        <v>109</v>
      </c>
      <c r="D52" s="26" t="s">
        <v>110</v>
      </c>
      <c r="E52" s="318"/>
      <c r="F52" s="34" t="s">
        <v>136</v>
      </c>
      <c r="K52" s="34" t="s">
        <v>137</v>
      </c>
      <c r="P52" s="34" t="s">
        <v>150</v>
      </c>
    </row>
    <row r="53" spans="1:20" x14ac:dyDescent="0.25">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x14ac:dyDescent="0.25">
      <c r="A54" s="44" t="str">
        <f>IF('CSs and Loads'!A149=1,"yes","no")</f>
        <v>no</v>
      </c>
      <c r="B54" s="70" t="s">
        <v>84</v>
      </c>
      <c r="C54" s="71">
        <f>((G54+H54+I54+J54)+SQRT(G54^2+H54^2+I54^2+J54^2))/2</f>
        <v>7.5627079474554229E-2</v>
      </c>
      <c r="D54" s="48">
        <f>L54+M54+N54+O54</f>
        <v>0</v>
      </c>
      <c r="E54" s="48">
        <f>Q54+R54+S54+T54</f>
        <v>1.4995499300155082E-3</v>
      </c>
      <c r="F54" s="70" t="s">
        <v>84</v>
      </c>
      <c r="G54" s="49">
        <f>'CSs and Loads'!T147</f>
        <v>5.0000000000000001E-3</v>
      </c>
      <c r="H54" s="49">
        <f>'CSs and Loads'!U147</f>
        <v>0</v>
      </c>
      <c r="I54" s="49">
        <f>'CSs and Loads'!V147</f>
        <v>3.5004993816200557E-2</v>
      </c>
      <c r="J54" s="49">
        <f>'CSs and Loads'!W147</f>
        <v>5.0004991666250512E-2</v>
      </c>
      <c r="K54" s="70" t="s">
        <v>84</v>
      </c>
      <c r="L54" s="49">
        <f>'CSs and Loads'!T154</f>
        <v>0</v>
      </c>
      <c r="M54" s="49">
        <f>'CSs and Loads'!U154</f>
        <v>0</v>
      </c>
      <c r="N54" s="49">
        <f>'CSs and Loads'!V154</f>
        <v>0</v>
      </c>
      <c r="O54" s="49">
        <f>'CSs and Loads'!W154</f>
        <v>0</v>
      </c>
      <c r="P54" s="70" t="s">
        <v>84</v>
      </c>
      <c r="Q54" s="49">
        <f>'CSs and Loads'!Y154</f>
        <v>0</v>
      </c>
      <c r="R54" s="49">
        <f>'CSs and Loads'!Z154</f>
        <v>0</v>
      </c>
      <c r="S54" s="49">
        <f>'CSs and Loads'!AA154</f>
        <v>0</v>
      </c>
      <c r="T54" s="49">
        <f>'CSs and Loads'!AB154</f>
        <v>1.4995499300155082E-3</v>
      </c>
    </row>
    <row r="55" spans="1:20" x14ac:dyDescent="0.25">
      <c r="A55" s="44">
        <f>'CSs and Loads'!A149</f>
        <v>0</v>
      </c>
      <c r="B55" s="70" t="s">
        <v>112</v>
      </c>
      <c r="C55" s="71">
        <f t="shared" ref="C55:C56" si="13">((G55+H55+I55+J55)+SQRT(G55^2+H55^2+I55^2+J55^2))/2</f>
        <v>4.3330859136292837E-2</v>
      </c>
      <c r="D55" s="48">
        <f t="shared" ref="D55:D56" si="14">L55+M55+N55+O55</f>
        <v>0</v>
      </c>
      <c r="E55" s="48">
        <f t="shared" ref="E55:E56" si="15">Q55+R55+S55+T55</f>
        <v>-4.4362630672438279E-3</v>
      </c>
      <c r="F55" s="70" t="s">
        <v>112</v>
      </c>
      <c r="G55" s="49">
        <f>'CSs and Loads'!T148</f>
        <v>5.0000000000000001E-3</v>
      </c>
      <c r="H55" s="49">
        <f>'CSs and Loads'!U148</f>
        <v>3.4974994168749191E-2</v>
      </c>
      <c r="I55" s="49">
        <f>'CSs and Loads'!V148</f>
        <v>0</v>
      </c>
      <c r="J55" s="49">
        <f>'CSs and Loads'!W148</f>
        <v>9.9749983354172466E-3</v>
      </c>
      <c r="K55" s="70" t="s">
        <v>112</v>
      </c>
      <c r="L55" s="49">
        <f>'CSs and Loads'!T155</f>
        <v>0</v>
      </c>
      <c r="M55" s="49">
        <f>'CSs and Loads'!U155</f>
        <v>0</v>
      </c>
      <c r="N55" s="49">
        <f>'CSs and Loads'!V155</f>
        <v>0</v>
      </c>
      <c r="O55" s="49">
        <f>'CSs and Loads'!W155</f>
        <v>0</v>
      </c>
      <c r="P55" s="70" t="s">
        <v>112</v>
      </c>
      <c r="Q55" s="49">
        <f>'CSs and Loads'!Y155</f>
        <v>-4.6622674399194957E-4</v>
      </c>
      <c r="R55" s="49">
        <f>'CSs and Loads'!Z155</f>
        <v>-3.6709060253085385E-3</v>
      </c>
      <c r="S55" s="49">
        <f>'CSs and Loads'!AA155</f>
        <v>0</v>
      </c>
      <c r="T55" s="49">
        <f>'CSs and Loads'!AB155</f>
        <v>-2.9913029794333986E-4</v>
      </c>
    </row>
    <row r="56" spans="1:20" s="52" customFormat="1" ht="16.5" thickBot="1" x14ac:dyDescent="0.3">
      <c r="B56" s="72" t="s">
        <v>113</v>
      </c>
      <c r="C56" s="73">
        <f t="shared" si="13"/>
        <v>5.8124201003598386E-2</v>
      </c>
      <c r="D56" s="74">
        <f t="shared" si="14"/>
        <v>0</v>
      </c>
      <c r="E56" s="74">
        <f t="shared" si="15"/>
        <v>-5.2497367301549821E-3</v>
      </c>
      <c r="F56" s="72" t="s">
        <v>113</v>
      </c>
      <c r="G56" s="75">
        <f>'CSs and Loads'!T149</f>
        <v>5.0000000000000001E-3</v>
      </c>
      <c r="H56" s="75">
        <f>'CSs and Loads'!U149</f>
        <v>5.0017491665209982E-2</v>
      </c>
      <c r="I56" s="75">
        <f>'CSs and Loads'!V149</f>
        <v>9.9824982349707887E-3</v>
      </c>
      <c r="J56" s="75">
        <f>'CSs and Loads'!W149</f>
        <v>0</v>
      </c>
      <c r="K56" s="72" t="s">
        <v>113</v>
      </c>
      <c r="L56" s="75">
        <f>'CSs and Loads'!T156</f>
        <v>0</v>
      </c>
      <c r="M56" s="75">
        <f>'CSs and Loads'!U156</f>
        <v>0</v>
      </c>
      <c r="N56" s="75">
        <f>'CSs and Loads'!V156</f>
        <v>0</v>
      </c>
      <c r="O56" s="75">
        <f>'CSs and Loads'!W156</f>
        <v>0</v>
      </c>
      <c r="P56" s="72" t="s">
        <v>113</v>
      </c>
      <c r="Q56" s="75">
        <f>'CSs and Loads'!Y156</f>
        <v>0</v>
      </c>
      <c r="R56" s="75">
        <f>'CSs and Loads'!Z156</f>
        <v>-5.2497367301549821E-3</v>
      </c>
      <c r="S56" s="75">
        <f>'CSs and Loads'!AA156</f>
        <v>0</v>
      </c>
      <c r="T56" s="75">
        <f>'CSs and Loads'!AB156</f>
        <v>0</v>
      </c>
    </row>
    <row r="58" spans="1:20" x14ac:dyDescent="0.25">
      <c r="A58" s="23" t="s">
        <v>128</v>
      </c>
      <c r="B58" s="9" t="str">
        <f>'CSs and Loads'!A187</f>
        <v>X-axis</v>
      </c>
      <c r="C58" s="319" t="s">
        <v>152</v>
      </c>
      <c r="D58" s="319"/>
      <c r="E58" s="318" t="s">
        <v>153</v>
      </c>
    </row>
    <row r="59" spans="1:20" x14ac:dyDescent="0.25">
      <c r="A59" s="44">
        <f>A52+1</f>
        <v>6</v>
      </c>
      <c r="C59" s="26" t="s">
        <v>109</v>
      </c>
      <c r="D59" s="26" t="s">
        <v>110</v>
      </c>
      <c r="E59" s="318"/>
      <c r="F59" s="34" t="s">
        <v>136</v>
      </c>
      <c r="K59" s="34" t="s">
        <v>137</v>
      </c>
      <c r="P59" s="34" t="s">
        <v>150</v>
      </c>
    </row>
    <row r="60" spans="1:20" x14ac:dyDescent="0.25">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x14ac:dyDescent="0.25">
      <c r="A61" s="44" t="str">
        <f>IF('CSs and Loads'!A182=1,"yes","no")</f>
        <v>no</v>
      </c>
      <c r="B61" s="70" t="s">
        <v>84</v>
      </c>
      <c r="C61" s="71">
        <f>((G61+H61+I61+J61)+SQRT(G61^2+H61^2+I61^2+J61^2))/2</f>
        <v>6.4597824137671817E-2</v>
      </c>
      <c r="D61" s="48">
        <f>L61+M61+N61+O61</f>
        <v>0</v>
      </c>
      <c r="E61" s="48">
        <f>Q61+R61+S61+T61</f>
        <v>2.2713051761473891E-3</v>
      </c>
      <c r="F61" s="70" t="s">
        <v>84</v>
      </c>
      <c r="G61" s="49">
        <f>'CSs and Loads'!T180</f>
        <v>5.0000000000000001E-3</v>
      </c>
      <c r="H61" s="49">
        <f>'CSs and Loads'!U180</f>
        <v>0</v>
      </c>
      <c r="I61" s="49">
        <f>'CSs and Loads'!V180</f>
        <v>2.0074996453000125E-2</v>
      </c>
      <c r="J61" s="49">
        <f>'CSs and Loads'!W180</f>
        <v>5.0004991666250512E-2</v>
      </c>
      <c r="K61" s="70" t="s">
        <v>84</v>
      </c>
      <c r="L61" s="49">
        <f>'CSs and Loads'!T187</f>
        <v>0</v>
      </c>
      <c r="M61" s="49">
        <f>'CSs and Loads'!U187</f>
        <v>0</v>
      </c>
      <c r="N61" s="49">
        <f>'CSs and Loads'!V187</f>
        <v>0</v>
      </c>
      <c r="O61" s="49">
        <f>'CSs and Loads'!W187</f>
        <v>0</v>
      </c>
      <c r="P61" s="70" t="s">
        <v>84</v>
      </c>
      <c r="Q61" s="49">
        <f>'CSs and Loads'!Y187</f>
        <v>0</v>
      </c>
      <c r="R61" s="49">
        <f>'CSs and Loads'!Z187</f>
        <v>0</v>
      </c>
      <c r="S61" s="49">
        <f>'CSs and Loads'!AA187</f>
        <v>0</v>
      </c>
      <c r="T61" s="49">
        <f>'CSs and Loads'!AB187</f>
        <v>2.2713051761473891E-3</v>
      </c>
    </row>
    <row r="62" spans="1:20" x14ac:dyDescent="0.25">
      <c r="A62" s="44">
        <f>'CSs and Loads'!A182</f>
        <v>0</v>
      </c>
      <c r="B62" s="70" t="s">
        <v>112</v>
      </c>
      <c r="C62" s="71">
        <f t="shared" ref="C62:C63" si="16">((G62+H62+I62+J62)+SQRT(G62^2+H62^2+I62^2+J62^2))/2</f>
        <v>2.9036861001901879E-2</v>
      </c>
      <c r="D62" s="48">
        <f t="shared" ref="D62:D63" si="17">L62+M62+N62+O62</f>
        <v>0</v>
      </c>
      <c r="E62" s="48">
        <f t="shared" ref="E62:E63" si="18">Q62+R62+S62+T62</f>
        <v>3.0835132897580552E-3</v>
      </c>
      <c r="F62" s="70" t="s">
        <v>112</v>
      </c>
      <c r="G62" s="49">
        <f>'CSs and Loads'!T181</f>
        <v>5.0000000000000001E-3</v>
      </c>
      <c r="H62" s="49">
        <f>'CSs and Loads'!U181</f>
        <v>2.0104996651252819E-2</v>
      </c>
      <c r="I62" s="49">
        <f>'CSs and Loads'!V181</f>
        <v>0</v>
      </c>
      <c r="J62" s="49">
        <f>'CSs and Loads'!W181</f>
        <v>9.9749983354172466E-3</v>
      </c>
      <c r="K62" s="70" t="s">
        <v>112</v>
      </c>
      <c r="L62" s="49">
        <f>'CSs and Loads'!T188</f>
        <v>0</v>
      </c>
      <c r="M62" s="49">
        <f>'CSs and Loads'!U188</f>
        <v>0</v>
      </c>
      <c r="N62" s="49">
        <f>'CSs and Loads'!V188</f>
        <v>0</v>
      </c>
      <c r="O62" s="49">
        <f>'CSs and Loads'!W188</f>
        <v>0</v>
      </c>
      <c r="P62" s="70" t="s">
        <v>112</v>
      </c>
      <c r="Q62" s="49">
        <f>'CSs and Loads'!Y188</f>
        <v>5.2983898887361547E-3</v>
      </c>
      <c r="R62" s="49">
        <f>'CSs and Loads'!Z188</f>
        <v>-1.7617965244425405E-3</v>
      </c>
      <c r="S62" s="49">
        <f>'CSs and Loads'!AA188</f>
        <v>0</v>
      </c>
      <c r="T62" s="49">
        <f>'CSs and Loads'!AB188</f>
        <v>-4.530800745355589E-4</v>
      </c>
    </row>
    <row r="63" spans="1:20" s="52" customFormat="1" ht="16.5" thickBot="1" x14ac:dyDescent="0.3">
      <c r="B63" s="72" t="s">
        <v>113</v>
      </c>
      <c r="C63" s="73">
        <f t="shared" si="16"/>
        <v>5.8113449095834956E-2</v>
      </c>
      <c r="D63" s="74">
        <f t="shared" si="17"/>
        <v>0</v>
      </c>
      <c r="E63" s="74">
        <f t="shared" si="18"/>
        <v>4.3806086930818595E-3</v>
      </c>
      <c r="F63" s="72" t="s">
        <v>113</v>
      </c>
      <c r="G63" s="75">
        <f>'CSs and Loads'!T182</f>
        <v>5.0000000000000001E-3</v>
      </c>
      <c r="H63" s="75">
        <f>'CSs and Loads'!U182</f>
        <v>4.9989951667504362E-2</v>
      </c>
      <c r="I63" s="75">
        <f>'CSs and Loads'!V182</f>
        <v>1.0010038232395321E-2</v>
      </c>
      <c r="J63" s="75">
        <f>'CSs and Loads'!W182</f>
        <v>0</v>
      </c>
      <c r="K63" s="72" t="s">
        <v>113</v>
      </c>
      <c r="L63" s="75">
        <f>'CSs and Loads'!T189</f>
        <v>0</v>
      </c>
      <c r="M63" s="75">
        <f>'CSs and Loads'!U189</f>
        <v>0</v>
      </c>
      <c r="N63" s="75">
        <f>'CSs and Loads'!V189</f>
        <v>0</v>
      </c>
      <c r="O63" s="75">
        <f>'CSs and Loads'!W189</f>
        <v>0</v>
      </c>
      <c r="P63" s="72" t="s">
        <v>113</v>
      </c>
      <c r="Q63" s="75">
        <f>'CSs and Loads'!Y189</f>
        <v>0</v>
      </c>
      <c r="R63" s="75">
        <f>'CSs and Loads'!Z189</f>
        <v>4.3806086930818595E-3</v>
      </c>
      <c r="S63" s="75">
        <f>'CSs and Loads'!AA189</f>
        <v>0</v>
      </c>
      <c r="T63" s="75">
        <f>'CSs and Loads'!AB189</f>
        <v>0</v>
      </c>
    </row>
    <row r="65" spans="1:20" x14ac:dyDescent="0.25">
      <c r="A65" s="23" t="s">
        <v>128</v>
      </c>
      <c r="B65" s="9" t="str">
        <f>'CSs and Loads'!A220</f>
        <v>Bed &amp; Frame</v>
      </c>
      <c r="C65" s="319" t="s">
        <v>152</v>
      </c>
      <c r="D65" s="319"/>
      <c r="E65" s="318" t="s">
        <v>153</v>
      </c>
    </row>
    <row r="66" spans="1:20" x14ac:dyDescent="0.25">
      <c r="A66" s="44">
        <f>A59+1</f>
        <v>7</v>
      </c>
      <c r="C66" s="26" t="s">
        <v>109</v>
      </c>
      <c r="D66" s="26" t="s">
        <v>110</v>
      </c>
      <c r="E66" s="318"/>
      <c r="F66" s="34" t="s">
        <v>136</v>
      </c>
      <c r="K66" s="34" t="s">
        <v>137</v>
      </c>
      <c r="P66" s="34" t="s">
        <v>150</v>
      </c>
    </row>
    <row r="67" spans="1:20" x14ac:dyDescent="0.25">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x14ac:dyDescent="0.25">
      <c r="A68" s="44" t="str">
        <f>IF('CSs and Loads'!A215=1,"yes","no")</f>
        <v>no</v>
      </c>
      <c r="B68" s="70" t="s">
        <v>84</v>
      </c>
      <c r="C68" s="71">
        <f>((G68+H68+I68+J68)+SQRT(G68^2+H68^2+I68^2+J68^2))/2</f>
        <v>5.0000000000000001E-3</v>
      </c>
      <c r="D68" s="48">
        <f>L68+M68+N68+O68</f>
        <v>0</v>
      </c>
      <c r="E68" s="48">
        <f>Q68+R68+S68+T68</f>
        <v>4.73925003588618E-4</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4.73925003588618E-4</v>
      </c>
      <c r="R68" s="49">
        <f>'CSs and Loads'!Z220</f>
        <v>0</v>
      </c>
      <c r="S68" s="49">
        <f>'CSs and Loads'!AA220</f>
        <v>0</v>
      </c>
      <c r="T68" s="49">
        <f>'CSs and Loads'!AB220</f>
        <v>0</v>
      </c>
    </row>
    <row r="69" spans="1:20" x14ac:dyDescent="0.25">
      <c r="A69" s="44">
        <f>'CSs and Loads'!A215</f>
        <v>0</v>
      </c>
      <c r="B69" s="70" t="s">
        <v>112</v>
      </c>
      <c r="C69" s="71">
        <f t="shared" ref="C69:C70" si="19">((G69+H69+I69+J69)+SQRT(G69^2+H69^2+I69^2+J69^2))/2</f>
        <v>5.0000000000000001E-3</v>
      </c>
      <c r="D69" s="48">
        <f t="shared" ref="D69:D70" si="20">L69+M69+N69+O69</f>
        <v>0</v>
      </c>
      <c r="E69" s="48">
        <f t="shared" ref="E69:E70" si="21">Q69+R69+S69+T69</f>
        <v>-1.7192425539198903E-4</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-1.7192425539198903E-4</v>
      </c>
      <c r="R69" s="49">
        <f>'CSs and Loads'!Z221</f>
        <v>0</v>
      </c>
      <c r="S69" s="49">
        <f>'CSs and Loads'!AA221</f>
        <v>0</v>
      </c>
      <c r="T69" s="49">
        <f>'CSs and Loads'!AB221</f>
        <v>0</v>
      </c>
    </row>
    <row r="70" spans="1:20" s="52" customFormat="1" ht="16.5" thickBot="1" x14ac:dyDescent="0.3">
      <c r="B70" s="72" t="s">
        <v>113</v>
      </c>
      <c r="C70" s="73">
        <f t="shared" si="19"/>
        <v>5.0000000000000001E-3</v>
      </c>
      <c r="D70" s="74">
        <f t="shared" si="20"/>
        <v>0</v>
      </c>
      <c r="E70" s="74">
        <f t="shared" si="21"/>
        <v>3.1077889383896995E-3</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3.1077889383896995E-3</v>
      </c>
      <c r="R70" s="75">
        <f>'CSs and Loads'!Z222</f>
        <v>0</v>
      </c>
      <c r="S70" s="75">
        <f>'CSs and Loads'!AA222</f>
        <v>0</v>
      </c>
      <c r="T70" s="75">
        <f>'CSs and Loads'!AB222</f>
        <v>0</v>
      </c>
    </row>
    <row r="72" spans="1:20" x14ac:dyDescent="0.25">
      <c r="A72" s="23" t="s">
        <v>128</v>
      </c>
      <c r="B72" s="9" t="str">
        <f>'CSs and Loads'!A253</f>
        <v>Thing 8</v>
      </c>
      <c r="C72" s="319" t="s">
        <v>152</v>
      </c>
      <c r="D72" s="319"/>
      <c r="E72" s="318" t="s">
        <v>153</v>
      </c>
    </row>
    <row r="73" spans="1:20" x14ac:dyDescent="0.25">
      <c r="A73" s="44">
        <f>A66+1</f>
        <v>8</v>
      </c>
      <c r="C73" s="26" t="s">
        <v>109</v>
      </c>
      <c r="D73" s="26" t="s">
        <v>110</v>
      </c>
      <c r="E73" s="318"/>
      <c r="F73" s="34" t="s">
        <v>136</v>
      </c>
      <c r="K73" s="34" t="s">
        <v>137</v>
      </c>
      <c r="P73" s="34" t="s">
        <v>150</v>
      </c>
    </row>
    <row r="74" spans="1:20" x14ac:dyDescent="0.25">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x14ac:dyDescent="0.25">
      <c r="A75" s="44" t="str">
        <f>IF('CSs and Loads'!A248=1,"yes","no")</f>
        <v>no</v>
      </c>
      <c r="B75" s="70" t="s">
        <v>84</v>
      </c>
      <c r="C75" s="71">
        <f>((G75+H75+I75+J75)+SQRT(G75^2+H75^2+I75^2+J75^2))/2</f>
        <v>5.0000000000000001E-3</v>
      </c>
      <c r="D75" s="48">
        <f>L75+M75+N75+O75</f>
        <v>0</v>
      </c>
      <c r="E75" s="48">
        <f>Q75+R75+S75+T75</f>
        <v>0</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0</v>
      </c>
      <c r="R75" s="49">
        <f>'CSs and Loads'!Z253</f>
        <v>0</v>
      </c>
      <c r="S75" s="49">
        <f>'CSs and Loads'!AA253</f>
        <v>0</v>
      </c>
      <c r="T75" s="49">
        <f>'CSs and Loads'!AB253</f>
        <v>0</v>
      </c>
    </row>
    <row r="76" spans="1:20" x14ac:dyDescent="0.25">
      <c r="A76" s="44">
        <f>'CSs and Loads'!A248</f>
        <v>0</v>
      </c>
      <c r="B76" s="70" t="s">
        <v>112</v>
      </c>
      <c r="C76" s="71">
        <f t="shared" ref="C76:C77" si="22">((G76+H76+I76+J76)+SQRT(G76^2+H76^2+I76^2+J76^2))/2</f>
        <v>5.0000000000000001E-3</v>
      </c>
      <c r="D76" s="48">
        <f t="shared" ref="D76:D77" si="23">L76+M76+N76+O76</f>
        <v>0</v>
      </c>
      <c r="E76" s="48">
        <f t="shared" ref="E76:E77" si="24">Q76+R76+S76+T76</f>
        <v>-1.1591962905718702E-4</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-1.1591962905718702E-4</v>
      </c>
      <c r="R76" s="49">
        <f>'CSs and Loads'!Z254</f>
        <v>0</v>
      </c>
      <c r="S76" s="49">
        <f>'CSs and Loads'!AA254</f>
        <v>0</v>
      </c>
      <c r="T76" s="49">
        <f>'CSs and Loads'!AB254</f>
        <v>0</v>
      </c>
    </row>
    <row r="77" spans="1:20" s="52" customFormat="1" ht="16.5" thickBot="1" x14ac:dyDescent="0.3">
      <c r="B77" s="72" t="s">
        <v>113</v>
      </c>
      <c r="C77" s="73">
        <f t="shared" si="22"/>
        <v>5.0000000000000001E-3</v>
      </c>
      <c r="D77" s="74">
        <f t="shared" si="23"/>
        <v>0</v>
      </c>
      <c r="E77" s="74">
        <f t="shared" si="24"/>
        <v>0</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0</v>
      </c>
      <c r="R77" s="75">
        <f>'CSs and Loads'!Z255</f>
        <v>0</v>
      </c>
      <c r="S77" s="75">
        <f>'CSs and Loads'!AA255</f>
        <v>0</v>
      </c>
      <c r="T77" s="75">
        <f>'CSs and Loads'!AB255</f>
        <v>0</v>
      </c>
    </row>
    <row r="79" spans="1:20" x14ac:dyDescent="0.25">
      <c r="A79" s="23" t="s">
        <v>128</v>
      </c>
      <c r="B79" s="9" t="str">
        <f>'CSs and Loads'!A286</f>
        <v>Thing 9</v>
      </c>
      <c r="C79" s="319" t="s">
        <v>152</v>
      </c>
      <c r="D79" s="319"/>
      <c r="E79" s="318" t="s">
        <v>153</v>
      </c>
    </row>
    <row r="80" spans="1:20" x14ac:dyDescent="0.25">
      <c r="A80" s="44">
        <f>A73+1</f>
        <v>9</v>
      </c>
      <c r="C80" s="26" t="s">
        <v>109</v>
      </c>
      <c r="D80" s="26" t="s">
        <v>110</v>
      </c>
      <c r="E80" s="318"/>
      <c r="F80" s="34" t="s">
        <v>136</v>
      </c>
      <c r="K80" s="34" t="s">
        <v>137</v>
      </c>
      <c r="P80" s="34" t="s">
        <v>150</v>
      </c>
    </row>
    <row r="81" spans="1:20" x14ac:dyDescent="0.25">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x14ac:dyDescent="0.25">
      <c r="A82" s="44" t="str">
        <f>IF('CSs and Loads'!A281=1,"yes","no")</f>
        <v>no</v>
      </c>
      <c r="B82" s="70" t="s">
        <v>84</v>
      </c>
      <c r="C82" s="71">
        <f>((G82+H82+I82+J82)+SQRT(G82^2+H82^2+I82^2+J82^2))/2</f>
        <v>5.0005000249557325E-3</v>
      </c>
      <c r="D82" s="48">
        <f>L82+M82+N82+O82</f>
        <v>0</v>
      </c>
      <c r="E82" s="48">
        <f>Q82+R82+S82+T82</f>
        <v>2.2710782571391571E-9</v>
      </c>
      <c r="F82" s="70" t="s">
        <v>84</v>
      </c>
      <c r="G82" s="49">
        <f>'CSs and Loads'!T279</f>
        <v>5.0000000000000001E-3</v>
      </c>
      <c r="H82" s="49">
        <f>'CSs and Loads'!U279</f>
        <v>0</v>
      </c>
      <c r="I82" s="49">
        <f>'CSs and Loads'!V279</f>
        <v>4.9999995323668622E-7</v>
      </c>
      <c r="J82" s="49">
        <f>'CSs and Loads'!W279</f>
        <v>4.9999995823668582E-7</v>
      </c>
      <c r="K82" s="70" t="s">
        <v>84</v>
      </c>
      <c r="L82" s="49">
        <f>'CSs and Loads'!T286</f>
        <v>0</v>
      </c>
      <c r="M82" s="49">
        <f>'CSs and Loads'!U286</f>
        <v>0</v>
      </c>
      <c r="N82" s="49">
        <f>'CSs and Loads'!V286</f>
        <v>0</v>
      </c>
      <c r="O82" s="49">
        <f>'CSs and Loads'!W286</f>
        <v>0</v>
      </c>
      <c r="P82" s="70" t="s">
        <v>84</v>
      </c>
      <c r="Q82" s="49">
        <f>'CSs and Loads'!Y286</f>
        <v>0</v>
      </c>
      <c r="R82" s="49">
        <f>'CSs and Loads'!Z286</f>
        <v>0</v>
      </c>
      <c r="S82" s="49">
        <f>'CSs and Loads'!AA286</f>
        <v>0</v>
      </c>
      <c r="T82" s="49">
        <f>'CSs and Loads'!AB286</f>
        <v>2.2710782571391571E-9</v>
      </c>
    </row>
    <row r="83" spans="1:20" x14ac:dyDescent="0.25">
      <c r="A83" s="44">
        <f>'CSs and Loads'!A281</f>
        <v>0</v>
      </c>
      <c r="B83" s="70" t="s">
        <v>112</v>
      </c>
      <c r="C83" s="71">
        <f t="shared" ref="C83:C84" si="25">((G83+H83+I83+J83)+SQRT(G83^2+H83^2+I83^2+J83^2))/2</f>
        <v>5.5495096571200539E-3</v>
      </c>
      <c r="D83" s="48">
        <f t="shared" ref="D83:D84" si="26">L83+M83+N83+O83</f>
        <v>0</v>
      </c>
      <c r="E83" s="48">
        <f t="shared" ref="E83:E84" si="27">Q83+R83+S83+T83</f>
        <v>-1.2046178519383028E-4</v>
      </c>
      <c r="F83" s="70" t="s">
        <v>112</v>
      </c>
      <c r="G83" s="49">
        <f>'CSs and Loads'!T280</f>
        <v>5.0000000000000001E-3</v>
      </c>
      <c r="H83" s="49">
        <f>'CSs and Loads'!U280</f>
        <v>0</v>
      </c>
      <c r="I83" s="49">
        <f>'CSs and Loads'!V280</f>
        <v>0</v>
      </c>
      <c r="J83" s="49">
        <f>'CSs and Loads'!W280</f>
        <v>9.9999983333334233E-4</v>
      </c>
      <c r="K83" s="70" t="s">
        <v>112</v>
      </c>
      <c r="L83" s="49">
        <f>'CSs and Loads'!T287</f>
        <v>0</v>
      </c>
      <c r="M83" s="49">
        <f>'CSs and Loads'!U287</f>
        <v>0</v>
      </c>
      <c r="N83" s="49">
        <f>'CSs and Loads'!V287</f>
        <v>0</v>
      </c>
      <c r="O83" s="49">
        <f>'CSs and Loads'!W287</f>
        <v>0</v>
      </c>
      <c r="P83" s="70" t="s">
        <v>112</v>
      </c>
      <c r="Q83" s="49">
        <f>'CSs and Loads'!Y287</f>
        <v>-1.1591962905718702E-4</v>
      </c>
      <c r="R83" s="49">
        <f>'CSs and Loads'!Z287</f>
        <v>0</v>
      </c>
      <c r="S83" s="49">
        <f>'CSs and Loads'!AA287</f>
        <v>0</v>
      </c>
      <c r="T83" s="49">
        <f>'CSs and Loads'!AB287</f>
        <v>-4.5421561366432576E-6</v>
      </c>
    </row>
    <row r="84" spans="1:20" s="52" customFormat="1" ht="16.5" thickBot="1" x14ac:dyDescent="0.3">
      <c r="B84" s="72" t="s">
        <v>113</v>
      </c>
      <c r="C84" s="73">
        <f t="shared" si="25"/>
        <v>5.549509651139475E-3</v>
      </c>
      <c r="D84" s="74">
        <f t="shared" si="26"/>
        <v>0</v>
      </c>
      <c r="E84" s="74">
        <f t="shared" si="27"/>
        <v>0</v>
      </c>
      <c r="F84" s="72" t="s">
        <v>113</v>
      </c>
      <c r="G84" s="75">
        <f>'CSs and Loads'!T281</f>
        <v>5.0000000000000001E-3</v>
      </c>
      <c r="H84" s="75">
        <f>'CSs and Loads'!U281</f>
        <v>0</v>
      </c>
      <c r="I84" s="75">
        <f>'CSs and Loads'!V281</f>
        <v>9.9999982333334411E-4</v>
      </c>
      <c r="J84" s="75">
        <f>'CSs and Loads'!W281</f>
        <v>0</v>
      </c>
      <c r="K84" s="72" t="s">
        <v>113</v>
      </c>
      <c r="L84" s="75">
        <f>'CSs and Loads'!T288</f>
        <v>0</v>
      </c>
      <c r="M84" s="75">
        <f>'CSs and Loads'!U288</f>
        <v>0</v>
      </c>
      <c r="N84" s="75">
        <f>'CSs and Loads'!V288</f>
        <v>0</v>
      </c>
      <c r="O84" s="75">
        <f>'CSs and Loads'!W288</f>
        <v>0</v>
      </c>
      <c r="P84" s="72" t="s">
        <v>113</v>
      </c>
      <c r="Q84" s="75">
        <f>'CSs and Loads'!Y288</f>
        <v>0</v>
      </c>
      <c r="R84" s="75">
        <f>'CSs and Loads'!Z288</f>
        <v>0</v>
      </c>
      <c r="S84" s="75">
        <f>'CSs and Loads'!AA288</f>
        <v>0</v>
      </c>
      <c r="T84" s="75">
        <f>'CSs and Loads'!AB288</f>
        <v>0</v>
      </c>
    </row>
    <row r="86" spans="1:20" x14ac:dyDescent="0.25">
      <c r="A86" s="23" t="s">
        <v>128</v>
      </c>
      <c r="B86" s="9" t="str">
        <f>'CSs and Loads'!A319</f>
        <v>Thing 10</v>
      </c>
      <c r="C86" s="319" t="s">
        <v>152</v>
      </c>
      <c r="D86" s="319"/>
      <c r="E86" s="318" t="s">
        <v>153</v>
      </c>
    </row>
    <row r="87" spans="1:20" x14ac:dyDescent="0.25">
      <c r="A87" s="44">
        <f>A80+1</f>
        <v>10</v>
      </c>
      <c r="C87" s="26" t="s">
        <v>109</v>
      </c>
      <c r="D87" s="26" t="s">
        <v>110</v>
      </c>
      <c r="E87" s="318"/>
      <c r="F87" s="34" t="s">
        <v>136</v>
      </c>
      <c r="K87" s="34" t="s">
        <v>137</v>
      </c>
      <c r="P87" s="34" t="s">
        <v>150</v>
      </c>
    </row>
    <row r="88" spans="1:20" x14ac:dyDescent="0.25">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x14ac:dyDescent="0.25">
      <c r="A89" s="44" t="str">
        <f>IF('CSs and Loads'!A314=1,"yes","no")</f>
        <v>no</v>
      </c>
      <c r="B89" s="70" t="s">
        <v>84</v>
      </c>
      <c r="C89" s="71">
        <f>((G89+H89+I89+J89)+SQRT(G89^2+H89^2+I89^2+J89^2))/2</f>
        <v>5.0010000999114543E-3</v>
      </c>
      <c r="D89" s="48">
        <f>L89+M89+N89+O89</f>
        <v>0</v>
      </c>
      <c r="E89" s="48">
        <f>Q89+R89+S89+T89</f>
        <v>9.0843130285566282E-9</v>
      </c>
      <c r="F89" s="70" t="s">
        <v>84</v>
      </c>
      <c r="G89" s="49">
        <f>'CSs and Loads'!T312</f>
        <v>5.0000000000000001E-3</v>
      </c>
      <c r="H89" s="49">
        <f>'CSs and Loads'!U312</f>
        <v>0</v>
      </c>
      <c r="I89" s="49">
        <f>'CSs and Loads'!V312</f>
        <v>9.9999990647337245E-7</v>
      </c>
      <c r="J89" s="49">
        <f>'CSs and Loads'!W312</f>
        <v>9.9999991647337164E-7</v>
      </c>
      <c r="K89" s="70" t="s">
        <v>84</v>
      </c>
      <c r="L89" s="49">
        <f>'CSs and Loads'!T319</f>
        <v>0</v>
      </c>
      <c r="M89" s="49">
        <f>'CSs and Loads'!U319</f>
        <v>0</v>
      </c>
      <c r="N89" s="49">
        <f>'CSs and Loads'!V319</f>
        <v>0</v>
      </c>
      <c r="O89" s="49">
        <f>'CSs and Loads'!W319</f>
        <v>0</v>
      </c>
      <c r="P89" s="70" t="s">
        <v>84</v>
      </c>
      <c r="Q89" s="49">
        <f>'CSs and Loads'!Y319</f>
        <v>0</v>
      </c>
      <c r="R89" s="49">
        <f>'CSs and Loads'!Z319</f>
        <v>0</v>
      </c>
      <c r="S89" s="49">
        <f>'CSs and Loads'!AA319</f>
        <v>0</v>
      </c>
      <c r="T89" s="49">
        <f>'CSs and Loads'!AB319</f>
        <v>9.0843130285566282E-9</v>
      </c>
    </row>
    <row r="90" spans="1:20" x14ac:dyDescent="0.25">
      <c r="A90" s="44">
        <f>'CSs and Loads'!A314</f>
        <v>0</v>
      </c>
      <c r="B90" s="70" t="s">
        <v>112</v>
      </c>
      <c r="C90" s="71">
        <f t="shared" ref="C90:C91" si="28">((G90+H90+I90+J90)+SQRT(G90^2+H90^2+I90^2+J90^2))/2</f>
        <v>6.1925821750021563E-3</v>
      </c>
      <c r="D90" s="48">
        <f t="shared" ref="D90:D91" si="29">L90+M90+N90+O90</f>
        <v>0</v>
      </c>
      <c r="E90" s="48">
        <f t="shared" ref="E90:E91" si="30">Q90+R90+S90+T90</f>
        <v>-1.3408825360376004E-4</v>
      </c>
      <c r="F90" s="70" t="s">
        <v>112</v>
      </c>
      <c r="G90" s="49">
        <f>'CSs and Loads'!T313</f>
        <v>5.0000000000000001E-3</v>
      </c>
      <c r="H90" s="49">
        <f>'CSs and Loads'!U313</f>
        <v>0</v>
      </c>
      <c r="I90" s="49">
        <f>'CSs and Loads'!V313</f>
        <v>0</v>
      </c>
      <c r="J90" s="49">
        <f>'CSs and Loads'!W313</f>
        <v>1.9999996666666847E-3</v>
      </c>
      <c r="K90" s="70" t="s">
        <v>112</v>
      </c>
      <c r="L90" s="49">
        <f>'CSs and Loads'!T320</f>
        <v>0</v>
      </c>
      <c r="M90" s="49">
        <f>'CSs and Loads'!U320</f>
        <v>0</v>
      </c>
      <c r="N90" s="49">
        <f>'CSs and Loads'!V320</f>
        <v>0</v>
      </c>
      <c r="O90" s="49">
        <f>'CSs and Loads'!W320</f>
        <v>0</v>
      </c>
      <c r="P90" s="70" t="s">
        <v>112</v>
      </c>
      <c r="Q90" s="49">
        <f>'CSs and Loads'!Y320</f>
        <v>-1.1591962905718702E-4</v>
      </c>
      <c r="R90" s="49">
        <f>'CSs and Loads'!Z320</f>
        <v>0</v>
      </c>
      <c r="S90" s="49">
        <f>'CSs and Loads'!AA320</f>
        <v>0</v>
      </c>
      <c r="T90" s="49">
        <f>'CSs and Loads'!AB320</f>
        <v>-1.816862454657303E-5</v>
      </c>
    </row>
    <row r="91" spans="1:20" s="52" customFormat="1" ht="16.5" thickBot="1" x14ac:dyDescent="0.3">
      <c r="B91" s="72" t="s">
        <v>113</v>
      </c>
      <c r="C91" s="73">
        <f t="shared" si="28"/>
        <v>6.1925821612882521E-3</v>
      </c>
      <c r="D91" s="74">
        <f t="shared" si="29"/>
        <v>0</v>
      </c>
      <c r="E91" s="74">
        <f t="shared" si="30"/>
        <v>0</v>
      </c>
      <c r="F91" s="72" t="s">
        <v>113</v>
      </c>
      <c r="G91" s="75">
        <f>'CSs and Loads'!T314</f>
        <v>5.0000000000000001E-3</v>
      </c>
      <c r="H91" s="75">
        <f>'CSs and Loads'!U314</f>
        <v>0</v>
      </c>
      <c r="I91" s="75">
        <f>'CSs and Loads'!V314</f>
        <v>1.9999996466666882E-3</v>
      </c>
      <c r="J91" s="75">
        <f>'CSs and Loads'!W314</f>
        <v>0</v>
      </c>
      <c r="K91" s="72" t="s">
        <v>113</v>
      </c>
      <c r="L91" s="75">
        <f>'CSs and Loads'!T321</f>
        <v>0</v>
      </c>
      <c r="M91" s="75">
        <f>'CSs and Loads'!U321</f>
        <v>0</v>
      </c>
      <c r="N91" s="75">
        <f>'CSs and Loads'!V321</f>
        <v>0</v>
      </c>
      <c r="O91" s="75">
        <f>'CSs and Loads'!W321</f>
        <v>0</v>
      </c>
      <c r="P91" s="72" t="s">
        <v>113</v>
      </c>
      <c r="Q91" s="75">
        <f>'CSs and Loads'!Y321</f>
        <v>0</v>
      </c>
      <c r="R91" s="75">
        <f>'CSs and Loads'!Z321</f>
        <v>0</v>
      </c>
      <c r="S91" s="75">
        <f>'CSs and Loads'!AA321</f>
        <v>0</v>
      </c>
      <c r="T91" s="75">
        <f>'CSs and Loads'!AB321</f>
        <v>0</v>
      </c>
    </row>
  </sheetData>
  <mergeCells count="34">
    <mergeCell ref="A1:G1"/>
    <mergeCell ref="A2:G2"/>
    <mergeCell ref="A3:G3"/>
    <mergeCell ref="G13:G14"/>
    <mergeCell ref="A6:B6"/>
    <mergeCell ref="A7:B7"/>
    <mergeCell ref="A12:A19"/>
    <mergeCell ref="B12:G12"/>
    <mergeCell ref="C13:F13"/>
    <mergeCell ref="E5:G5"/>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M8:O8"/>
    <mergeCell ref="I3:O6"/>
    <mergeCell ref="N11:O14"/>
    <mergeCell ref="E51:E52"/>
    <mergeCell ref="C23:D23"/>
    <mergeCell ref="E23:E24"/>
    <mergeCell ref="C30:D30"/>
    <mergeCell ref="E30:E31"/>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topLeftCell="A25" zoomScale="75" zoomScaleNormal="75" zoomScalePageLayoutView="75" workbookViewId="0">
      <selection activeCell="A17" sqref="A17:A18"/>
    </sheetView>
  </sheetViews>
  <sheetFormatPr defaultColWidth="11" defaultRowHeight="15.75" x14ac:dyDescent="0.25"/>
  <cols>
    <col min="1" max="1" width="45.375" style="81" customWidth="1"/>
    <col min="2" max="2" width="22.125" style="81" customWidth="1"/>
    <col min="3" max="3" width="47.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Loads'!A210</f>
        <v>CS 7</v>
      </c>
      <c r="B1" s="205" t="str">
        <f>'CSs and Loads'!A220</f>
        <v>Bed &amp; Frame</v>
      </c>
    </row>
    <row r="2" spans="1:18" ht="16.5" thickBot="1" x14ac:dyDescent="0.3">
      <c r="A2" s="82" t="s">
        <v>132</v>
      </c>
      <c r="E2" s="176"/>
      <c r="F2" s="176"/>
      <c r="G2" s="176"/>
      <c r="H2" s="176"/>
      <c r="I2" s="242"/>
      <c r="J2" s="176"/>
      <c r="K2" s="176"/>
      <c r="L2" s="243"/>
      <c r="M2" s="243"/>
      <c r="N2" s="207"/>
    </row>
    <row r="3" spans="1:18" x14ac:dyDescent="0.25">
      <c r="A3" s="208" t="s">
        <v>111</v>
      </c>
      <c r="D3" s="241"/>
      <c r="E3" s="345" t="s">
        <v>372</v>
      </c>
      <c r="F3" s="346"/>
      <c r="G3" s="346"/>
      <c r="H3" s="346"/>
      <c r="I3" s="346"/>
      <c r="J3" s="346"/>
      <c r="K3" s="346"/>
      <c r="L3" s="346"/>
      <c r="M3" s="347"/>
      <c r="N3" s="181"/>
      <c r="O3" s="209"/>
      <c r="P3" s="209"/>
      <c r="Q3" s="209"/>
      <c r="R3" s="209"/>
    </row>
    <row r="4" spans="1:18" x14ac:dyDescent="0.25">
      <c r="A4" s="82" t="s">
        <v>321</v>
      </c>
      <c r="B4" s="177" t="s">
        <v>350</v>
      </c>
      <c r="C4" s="82" t="s">
        <v>369</v>
      </c>
      <c r="D4" s="169"/>
      <c r="E4" s="353" t="s">
        <v>353</v>
      </c>
      <c r="F4" s="354"/>
      <c r="G4" s="354"/>
      <c r="H4" s="354"/>
      <c r="I4" s="354"/>
      <c r="J4" s="354"/>
      <c r="K4" s="354"/>
      <c r="L4" s="354"/>
      <c r="M4" s="355"/>
      <c r="N4" s="204"/>
    </row>
    <row r="5" spans="1:18" x14ac:dyDescent="0.25">
      <c r="A5" s="114" t="s">
        <v>339</v>
      </c>
      <c r="B5" s="118" t="s">
        <v>340</v>
      </c>
      <c r="C5" s="102" t="s">
        <v>367</v>
      </c>
      <c r="D5" s="169">
        <v>25</v>
      </c>
      <c r="E5" s="182" t="s">
        <v>282</v>
      </c>
      <c r="F5" s="344" t="s">
        <v>285</v>
      </c>
      <c r="G5" s="157">
        <f>(B12/4)/(B16*B7)</f>
        <v>5.7058085130663014E-7</v>
      </c>
      <c r="H5" s="81">
        <v>0</v>
      </c>
      <c r="I5" s="81">
        <v>0</v>
      </c>
      <c r="J5" s="81">
        <v>0</v>
      </c>
      <c r="K5" s="81">
        <v>0</v>
      </c>
      <c r="L5" s="158">
        <f>-(B11/(3*B7*B18*B12))*(2*B11^2+B12^2-3*B11*B12)</f>
        <v>-1.57975001196206E-8</v>
      </c>
      <c r="M5" s="183" t="s">
        <v>276</v>
      </c>
      <c r="N5" s="181"/>
    </row>
    <row r="6" spans="1:18" x14ac:dyDescent="0.25">
      <c r="A6" s="114" t="s">
        <v>342</v>
      </c>
      <c r="B6" s="118" t="s">
        <v>286</v>
      </c>
      <c r="C6" s="102" t="s">
        <v>32</v>
      </c>
      <c r="D6" s="169">
        <f>1770*9.8</f>
        <v>17346</v>
      </c>
      <c r="E6" s="182" t="s">
        <v>283</v>
      </c>
      <c r="F6" s="344"/>
      <c r="G6" s="81">
        <v>0</v>
      </c>
      <c r="H6" s="158">
        <f>(B14/4)/(B16*B7)</f>
        <v>5.7058085130663014E-7</v>
      </c>
      <c r="I6" s="81">
        <v>0</v>
      </c>
      <c r="J6" s="81">
        <v>0</v>
      </c>
      <c r="K6" s="153">
        <v>0</v>
      </c>
      <c r="L6" s="81">
        <v>0</v>
      </c>
      <c r="M6" s="183" t="s">
        <v>277</v>
      </c>
      <c r="N6" s="181"/>
    </row>
    <row r="7" spans="1:18" x14ac:dyDescent="0.25">
      <c r="A7" s="102" t="s">
        <v>291</v>
      </c>
      <c r="B7" s="82">
        <f>69000</f>
        <v>69000</v>
      </c>
      <c r="C7" s="102" t="s">
        <v>243</v>
      </c>
      <c r="D7" s="169">
        <f>647*1000</f>
        <v>647000</v>
      </c>
      <c r="E7" s="182" t="s">
        <v>284</v>
      </c>
      <c r="F7" s="344"/>
      <c r="G7" s="81">
        <v>0</v>
      </c>
      <c r="H7" s="81">
        <v>0</v>
      </c>
      <c r="I7" s="158">
        <f>(B11^2/(3*B7*B18*B12))*(B12^2-2*B11*B12+B11^2)</f>
        <v>8.2936875628008157E-6</v>
      </c>
      <c r="J7" s="200">
        <f>I8</f>
        <v>5.1590121819218122E-8</v>
      </c>
      <c r="K7" s="98"/>
      <c r="L7" s="81">
        <v>0</v>
      </c>
      <c r="M7" s="183" t="s">
        <v>278</v>
      </c>
      <c r="N7" s="181"/>
    </row>
    <row r="8" spans="1:18" x14ac:dyDescent="0.25">
      <c r="A8" s="102" t="s">
        <v>287</v>
      </c>
      <c r="B8" s="82">
        <v>0.33400000000000002</v>
      </c>
      <c r="C8" s="102" t="s">
        <v>33</v>
      </c>
      <c r="D8" s="169">
        <v>3</v>
      </c>
      <c r="E8" s="182" t="s">
        <v>273</v>
      </c>
      <c r="F8" s="344"/>
      <c r="G8" s="81">
        <v>0</v>
      </c>
      <c r="H8" s="81">
        <v>0</v>
      </c>
      <c r="I8" s="200">
        <f>(B11/(B7*B17*B12))*(2*B11^2-3*B11*B12+B12^2)</f>
        <v>5.1590121819218122E-8</v>
      </c>
      <c r="J8" s="158">
        <f>(1/(3*B7*B17*B12))*(2*B12^2+3*B11^2-3*B11*B12)</f>
        <v>1.8834488918127251E-10</v>
      </c>
      <c r="K8" s="81">
        <v>0</v>
      </c>
      <c r="L8" s="81">
        <v>0</v>
      </c>
      <c r="M8" s="183" t="s">
        <v>279</v>
      </c>
      <c r="N8" s="181"/>
    </row>
    <row r="9" spans="1:18" x14ac:dyDescent="0.25">
      <c r="A9" s="102" t="s">
        <v>292</v>
      </c>
      <c r="B9" s="97">
        <f>B7/(2*(1+B8))</f>
        <v>25862.068965517239</v>
      </c>
      <c r="C9" s="102" t="s">
        <v>34</v>
      </c>
      <c r="D9" s="169">
        <v>0.01</v>
      </c>
      <c r="E9" s="182" t="s">
        <v>275</v>
      </c>
      <c r="F9" s="344"/>
      <c r="G9" s="81">
        <v>0</v>
      </c>
      <c r="H9" s="81">
        <v>0</v>
      </c>
      <c r="I9" s="81">
        <v>0</v>
      </c>
      <c r="J9" s="81">
        <v>0</v>
      </c>
      <c r="K9" s="158">
        <f>(1/(3*B7*B18*B12))*(2*B12^2+3*B11^2-3*B11*B12)</f>
        <v>1.730202394053685E-10</v>
      </c>
      <c r="L9" s="81">
        <v>0</v>
      </c>
      <c r="M9" s="183" t="s">
        <v>280</v>
      </c>
      <c r="N9" s="181"/>
    </row>
    <row r="10" spans="1:18" ht="16.5" thickBot="1" x14ac:dyDescent="0.3">
      <c r="A10" s="81" t="s">
        <v>343</v>
      </c>
      <c r="B10" s="82"/>
      <c r="C10" s="102" t="s">
        <v>288</v>
      </c>
      <c r="D10" s="237">
        <f>D6/(D8*D9)</f>
        <v>578200</v>
      </c>
      <c r="E10" s="184" t="s">
        <v>274</v>
      </c>
      <c r="F10" s="377"/>
      <c r="G10" s="201">
        <f>L5</f>
        <v>-1.57975001196206E-8</v>
      </c>
      <c r="H10" s="166">
        <v>0</v>
      </c>
      <c r="I10" s="166">
        <v>0</v>
      </c>
      <c r="J10" s="166">
        <v>0</v>
      </c>
      <c r="K10" s="166">
        <v>0</v>
      </c>
      <c r="L10" s="199">
        <v>0</v>
      </c>
      <c r="M10" s="187" t="s">
        <v>281</v>
      </c>
      <c r="N10" s="181"/>
    </row>
    <row r="11" spans="1:18" x14ac:dyDescent="0.25">
      <c r="A11" s="149" t="s">
        <v>347</v>
      </c>
      <c r="B11" s="83">
        <f>'CS_5 Bridge'!B11</f>
        <v>350</v>
      </c>
      <c r="C11" s="102" t="s">
        <v>35</v>
      </c>
      <c r="D11" s="82">
        <v>25</v>
      </c>
      <c r="E11" s="162"/>
      <c r="F11" s="162"/>
      <c r="G11" s="163"/>
      <c r="H11" s="163"/>
      <c r="I11" s="163"/>
      <c r="J11" s="163"/>
      <c r="K11" s="163"/>
      <c r="L11" s="164"/>
      <c r="M11" s="163"/>
    </row>
    <row r="12" spans="1:18" x14ac:dyDescent="0.25">
      <c r="A12" s="102" t="s">
        <v>234</v>
      </c>
      <c r="B12" s="82">
        <f>B14</f>
        <v>1400</v>
      </c>
      <c r="C12" s="102" t="s">
        <v>379</v>
      </c>
      <c r="D12" s="101">
        <f>D7*D11^2/4</f>
        <v>101093750</v>
      </c>
      <c r="E12" s="82"/>
      <c r="F12" s="82"/>
      <c r="L12" s="149"/>
    </row>
    <row r="13" spans="1:18" x14ac:dyDescent="0.25">
      <c r="A13" s="102" t="s">
        <v>361</v>
      </c>
      <c r="B13" s="82">
        <f>6*25.4</f>
        <v>152.39999999999998</v>
      </c>
      <c r="C13" s="102" t="s">
        <v>289</v>
      </c>
      <c r="D13" s="101">
        <f>D7*D11^2/12</f>
        <v>33697916.666666664</v>
      </c>
      <c r="E13" s="82"/>
      <c r="F13" s="82"/>
      <c r="L13" s="149"/>
    </row>
    <row r="14" spans="1:18" x14ac:dyDescent="0.25">
      <c r="A14" s="102" t="s">
        <v>359</v>
      </c>
      <c r="B14" s="82">
        <v>1400</v>
      </c>
      <c r="C14" s="102" t="s">
        <v>290</v>
      </c>
      <c r="D14" s="97">
        <f>D13</f>
        <v>33697916.666666664</v>
      </c>
      <c r="E14" s="82"/>
      <c r="F14" s="82"/>
      <c r="L14" s="149"/>
    </row>
    <row r="15" spans="1:18" x14ac:dyDescent="0.25">
      <c r="A15" s="102" t="s">
        <v>271</v>
      </c>
      <c r="B15" s="82">
        <f>0.125*25.4</f>
        <v>3.1749999999999998</v>
      </c>
      <c r="C15" s="114" t="s">
        <v>368</v>
      </c>
      <c r="D15" s="82"/>
      <c r="E15" s="82"/>
      <c r="F15" s="82"/>
      <c r="L15" s="149"/>
    </row>
    <row r="16" spans="1:18" x14ac:dyDescent="0.25">
      <c r="A16" s="102" t="s">
        <v>272</v>
      </c>
      <c r="B16" s="97">
        <f>2*B15*B14</f>
        <v>8890</v>
      </c>
      <c r="C16" s="115" t="s">
        <v>267</v>
      </c>
      <c r="D16" s="82"/>
      <c r="E16" s="82"/>
      <c r="F16" s="82"/>
      <c r="L16" s="149"/>
    </row>
    <row r="17" spans="1:19" x14ac:dyDescent="0.25">
      <c r="A17" s="258" t="s">
        <v>393</v>
      </c>
      <c r="B17" s="98">
        <f>2*(B15*B14)*(B13/2)^2</f>
        <v>51619251.599999987</v>
      </c>
      <c r="C17" s="116" t="s">
        <v>269</v>
      </c>
      <c r="D17" s="82">
        <v>18</v>
      </c>
      <c r="E17" s="82"/>
      <c r="F17" s="82"/>
      <c r="L17" s="149"/>
    </row>
    <row r="18" spans="1:19" x14ac:dyDescent="0.25">
      <c r="A18" s="258" t="s">
        <v>394</v>
      </c>
      <c r="B18" s="98">
        <f>2*(B15*(10*B13))*(B13/2)^2</f>
        <v>56191242.455999978</v>
      </c>
      <c r="C18" s="116" t="s">
        <v>234</v>
      </c>
      <c r="D18" s="82">
        <v>2500</v>
      </c>
      <c r="E18" s="82"/>
      <c r="F18" s="82"/>
      <c r="L18" s="149"/>
    </row>
    <row r="19" spans="1:19" x14ac:dyDescent="0.25">
      <c r="A19" s="102" t="s">
        <v>236</v>
      </c>
      <c r="B19" s="98">
        <f>2*B15*B15*(B13-B15)^2*(B14-B15)^2/(B13*B15+B14*B15-2*B15^2)</f>
        <v>178450333.5087992</v>
      </c>
      <c r="C19" s="102" t="s">
        <v>54</v>
      </c>
      <c r="D19" s="117">
        <v>200000</v>
      </c>
      <c r="E19" s="82"/>
      <c r="F19" s="82"/>
      <c r="L19" s="149"/>
    </row>
    <row r="20" spans="1:19" x14ac:dyDescent="0.25">
      <c r="A20" s="102" t="s">
        <v>337</v>
      </c>
      <c r="B20" s="97">
        <f>B18/B16</f>
        <v>6320.7246857142836</v>
      </c>
      <c r="C20" s="116" t="s">
        <v>268</v>
      </c>
      <c r="D20" s="98">
        <f>PI()*D17^2/4*D19/D18</f>
        <v>20357.520395261861</v>
      </c>
      <c r="E20" s="82"/>
      <c r="F20" s="82"/>
      <c r="L20" s="149"/>
    </row>
    <row r="21" spans="1:19" ht="16.5" thickBot="1" x14ac:dyDescent="0.3">
      <c r="A21" s="239" t="s">
        <v>314</v>
      </c>
      <c r="B21" s="245">
        <f>3*B7*B18/B12^3</f>
        <v>4238.9166138454793</v>
      </c>
      <c r="C21" s="239" t="s">
        <v>320</v>
      </c>
      <c r="D21" s="229">
        <v>3</v>
      </c>
      <c r="E21" s="229"/>
      <c r="F21" s="229"/>
      <c r="G21" s="176"/>
      <c r="H21" s="176"/>
      <c r="I21" s="176"/>
      <c r="J21" s="176"/>
      <c r="K21" s="176"/>
      <c r="L21" s="251"/>
      <c r="M21" s="176"/>
    </row>
    <row r="22" spans="1:19" ht="15" customHeight="1" thickBot="1" x14ac:dyDescent="0.3">
      <c r="A22" s="384" t="s">
        <v>362</v>
      </c>
      <c r="B22" s="385"/>
      <c r="C22" s="385"/>
      <c r="D22" s="385"/>
      <c r="E22" s="385"/>
      <c r="F22" s="385"/>
      <c r="G22" s="385"/>
      <c r="H22" s="385"/>
      <c r="I22" s="385"/>
      <c r="J22" s="385"/>
      <c r="K22" s="385"/>
      <c r="L22" s="385"/>
      <c r="M22" s="386"/>
      <c r="N22" s="250"/>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400000000</v>
      </c>
      <c r="C25" s="218">
        <v>0</v>
      </c>
      <c r="G25" s="242" t="s">
        <v>185</v>
      </c>
      <c r="O25" s="209"/>
      <c r="P25" s="209"/>
      <c r="Q25" s="209"/>
      <c r="R25" s="209"/>
    </row>
    <row r="26" spans="1:19" x14ac:dyDescent="0.25">
      <c r="A26" s="217" t="s">
        <v>118</v>
      </c>
      <c r="B26" s="152">
        <f>SUM(H35:S35)+C26</f>
        <v>400000000</v>
      </c>
      <c r="C26" s="218">
        <v>0</v>
      </c>
      <c r="G26" s="82" t="s">
        <v>124</v>
      </c>
      <c r="O26" s="209"/>
      <c r="P26" s="209"/>
      <c r="Q26" s="209"/>
      <c r="R26" s="209"/>
    </row>
    <row r="27" spans="1:19" x14ac:dyDescent="0.25">
      <c r="A27" s="217" t="s">
        <v>119</v>
      </c>
      <c r="B27" s="152">
        <f>SUM(H36:S36)+C27</f>
        <v>400000000</v>
      </c>
      <c r="C27" s="218">
        <v>0</v>
      </c>
      <c r="D27" s="87"/>
      <c r="E27" s="87"/>
      <c r="F27" s="87"/>
      <c r="G27" s="212" t="s">
        <v>133</v>
      </c>
      <c r="H27" s="213">
        <v>4</v>
      </c>
      <c r="O27" s="209"/>
      <c r="P27" s="209"/>
      <c r="Q27" s="209"/>
      <c r="R27" s="209"/>
    </row>
    <row r="28" spans="1:19" x14ac:dyDescent="0.25">
      <c r="A28" s="102" t="s">
        <v>115</v>
      </c>
      <c r="B28" s="107"/>
      <c r="C28" s="198"/>
      <c r="D28" s="87"/>
      <c r="E28" s="87"/>
      <c r="F28" s="87"/>
      <c r="H28" s="365" t="s">
        <v>129</v>
      </c>
      <c r="I28" s="365"/>
      <c r="J28" s="365"/>
      <c r="K28" s="365"/>
      <c r="L28" s="365"/>
      <c r="M28" s="365"/>
      <c r="N28" s="365"/>
      <c r="O28" s="365"/>
      <c r="P28" s="365"/>
      <c r="Q28" s="365"/>
      <c r="R28" s="365"/>
      <c r="S28" s="365"/>
    </row>
    <row r="29" spans="1:19" x14ac:dyDescent="0.25">
      <c r="A29" s="217" t="s">
        <v>8</v>
      </c>
      <c r="B29" s="152">
        <f>SUM(H38:S38)+SUM(H42:S42)+C29</f>
        <v>4000404375000</v>
      </c>
      <c r="C29" s="218">
        <v>0</v>
      </c>
      <c r="D29" s="87"/>
      <c r="E29" s="87"/>
      <c r="F29" s="87"/>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4000134791666.6665</v>
      </c>
      <c r="C30" s="218">
        <v>0</v>
      </c>
      <c r="D30" s="87"/>
      <c r="E30" s="87"/>
      <c r="F30" s="87"/>
      <c r="G30" s="102" t="s">
        <v>42</v>
      </c>
      <c r="H30" s="213">
        <v>100</v>
      </c>
      <c r="I30" s="213">
        <v>-100</v>
      </c>
      <c r="J30" s="213">
        <v>-100</v>
      </c>
      <c r="K30" s="213">
        <v>100</v>
      </c>
      <c r="L30" s="213">
        <v>0</v>
      </c>
      <c r="M30" s="213">
        <v>0</v>
      </c>
      <c r="N30" s="213">
        <v>0</v>
      </c>
      <c r="O30" s="213">
        <v>0</v>
      </c>
      <c r="P30" s="213">
        <v>0</v>
      </c>
      <c r="Q30" s="213">
        <v>0</v>
      </c>
      <c r="R30" s="213">
        <v>0</v>
      </c>
      <c r="S30" s="213">
        <v>0</v>
      </c>
    </row>
    <row r="31" spans="1:19" x14ac:dyDescent="0.25">
      <c r="A31" s="217" t="s">
        <v>116</v>
      </c>
      <c r="B31" s="152">
        <f>SUM(H40:S40)+SUM(H44:S44)+C31</f>
        <v>8000134791666.667</v>
      </c>
      <c r="C31" s="218">
        <v>0</v>
      </c>
      <c r="D31" s="87"/>
      <c r="E31" s="87"/>
      <c r="F31" s="87"/>
      <c r="G31" s="102" t="s">
        <v>43</v>
      </c>
      <c r="H31" s="213">
        <v>100</v>
      </c>
      <c r="I31" s="213">
        <v>100</v>
      </c>
      <c r="J31" s="213">
        <v>-100</v>
      </c>
      <c r="K31" s="213">
        <v>-100</v>
      </c>
      <c r="L31" s="213">
        <v>0</v>
      </c>
      <c r="M31" s="213">
        <v>0</v>
      </c>
      <c r="N31" s="213">
        <v>0</v>
      </c>
      <c r="O31" s="213">
        <v>0</v>
      </c>
      <c r="P31" s="213">
        <v>0</v>
      </c>
      <c r="Q31" s="213">
        <v>0</v>
      </c>
      <c r="R31" s="213">
        <v>0</v>
      </c>
      <c r="S31" s="213">
        <v>0</v>
      </c>
    </row>
    <row r="32" spans="1:19" x14ac:dyDescent="0.25">
      <c r="A32" s="366" t="s">
        <v>190</v>
      </c>
      <c r="B32" s="366"/>
      <c r="C32" s="366"/>
      <c r="D32" s="87"/>
      <c r="E32" s="87"/>
      <c r="F32" s="87"/>
      <c r="G32" s="102" t="s">
        <v>44</v>
      </c>
      <c r="H32" s="213">
        <v>0</v>
      </c>
      <c r="I32" s="213">
        <v>0</v>
      </c>
      <c r="J32" s="213">
        <v>0</v>
      </c>
      <c r="K32" s="213">
        <v>0</v>
      </c>
      <c r="L32" s="213">
        <v>0</v>
      </c>
      <c r="M32" s="213">
        <v>0</v>
      </c>
      <c r="N32" s="213">
        <v>0</v>
      </c>
      <c r="O32" s="213">
        <v>0</v>
      </c>
      <c r="P32" s="213">
        <v>0</v>
      </c>
      <c r="Q32" s="213">
        <v>0</v>
      </c>
      <c r="R32" s="213">
        <v>0</v>
      </c>
      <c r="S32" s="213">
        <v>0</v>
      </c>
    </row>
    <row r="33" spans="1:19" x14ac:dyDescent="0.25">
      <c r="A33" s="366"/>
      <c r="B33" s="366"/>
      <c r="C33" s="366"/>
      <c r="G33" s="82" t="s">
        <v>130</v>
      </c>
      <c r="H33" s="367"/>
      <c r="I33" s="367"/>
      <c r="J33" s="367"/>
      <c r="K33" s="367"/>
    </row>
    <row r="34" spans="1:19" x14ac:dyDescent="0.25">
      <c r="A34" s="366"/>
      <c r="B34" s="366"/>
      <c r="C34" s="366"/>
      <c r="D34" s="87"/>
      <c r="E34" s="87"/>
      <c r="F34" s="87"/>
      <c r="G34" s="102" t="s">
        <v>117</v>
      </c>
      <c r="H34" s="271">
        <v>100000000</v>
      </c>
      <c r="I34" s="271">
        <v>100000000</v>
      </c>
      <c r="J34" s="271">
        <v>100000000</v>
      </c>
      <c r="K34" s="271">
        <v>100000000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271">
        <v>100000000</v>
      </c>
      <c r="I35" s="271">
        <v>100000000</v>
      </c>
      <c r="J35" s="271">
        <v>100000000</v>
      </c>
      <c r="K35" s="271">
        <v>100000000</v>
      </c>
      <c r="L35" s="213">
        <v>0</v>
      </c>
      <c r="M35" s="213">
        <v>0</v>
      </c>
      <c r="N35" s="213">
        <v>0</v>
      </c>
      <c r="O35" s="213">
        <v>0</v>
      </c>
      <c r="P35" s="213">
        <v>0</v>
      </c>
      <c r="Q35" s="213">
        <v>0</v>
      </c>
      <c r="R35" s="213">
        <v>0</v>
      </c>
      <c r="S35" s="213">
        <v>0</v>
      </c>
    </row>
    <row r="36" spans="1:19" x14ac:dyDescent="0.25">
      <c r="A36" s="81" t="s">
        <v>109</v>
      </c>
      <c r="D36" s="87"/>
      <c r="E36" s="87"/>
      <c r="F36" s="87"/>
      <c r="G36" s="102" t="s">
        <v>119</v>
      </c>
      <c r="H36" s="271">
        <v>100000000</v>
      </c>
      <c r="I36" s="271">
        <v>100000000</v>
      </c>
      <c r="J36" s="271">
        <v>100000000</v>
      </c>
      <c r="K36" s="271">
        <v>100000000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67"/>
      <c r="I37" s="367"/>
      <c r="J37" s="367"/>
      <c r="K37" s="367"/>
    </row>
    <row r="38" spans="1:19" x14ac:dyDescent="0.25">
      <c r="A38" s="102" t="s">
        <v>188</v>
      </c>
      <c r="B38" s="213">
        <v>0</v>
      </c>
      <c r="D38" s="87"/>
      <c r="E38" s="87"/>
      <c r="F38" s="87"/>
      <c r="G38" s="102" t="s">
        <v>8</v>
      </c>
      <c r="H38" s="142">
        <f>D12</f>
        <v>101093750</v>
      </c>
      <c r="I38" s="142">
        <f>H38</f>
        <v>101093750</v>
      </c>
      <c r="J38" s="142">
        <f t="shared" ref="J38:K38" si="1">I38</f>
        <v>101093750</v>
      </c>
      <c r="K38" s="142">
        <f t="shared" si="1"/>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D14</f>
        <v>33697916.666666664</v>
      </c>
      <c r="I39" s="142">
        <f t="shared" ref="I39:K40" si="2">H39</f>
        <v>33697916.666666664</v>
      </c>
      <c r="J39" s="142">
        <f t="shared" si="2"/>
        <v>33697916.666666664</v>
      </c>
      <c r="K39" s="142">
        <f t="shared" si="2"/>
        <v>33697916.666666664</v>
      </c>
      <c r="L39" s="213">
        <v>0</v>
      </c>
      <c r="M39" s="213">
        <v>0</v>
      </c>
      <c r="N39" s="213">
        <v>0</v>
      </c>
      <c r="O39" s="213">
        <v>0</v>
      </c>
      <c r="P39" s="213">
        <v>0</v>
      </c>
      <c r="Q39" s="213">
        <v>0</v>
      </c>
      <c r="R39" s="213">
        <v>0</v>
      </c>
      <c r="S39" s="213">
        <v>0</v>
      </c>
    </row>
    <row r="40" spans="1:19" x14ac:dyDescent="0.25">
      <c r="A40" s="149" t="s">
        <v>110</v>
      </c>
      <c r="G40" s="102" t="s">
        <v>116</v>
      </c>
      <c r="H40" s="142">
        <f>D13</f>
        <v>33697916.666666664</v>
      </c>
      <c r="I40" s="142">
        <f t="shared" si="2"/>
        <v>33697916.666666664</v>
      </c>
      <c r="J40" s="142">
        <f t="shared" si="2"/>
        <v>33697916.666666664</v>
      </c>
      <c r="K40" s="142">
        <f t="shared" si="2"/>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1000000000000</v>
      </c>
      <c r="I42" s="152">
        <f t="shared" ref="I42:S42" si="3">I35*I32^2+I36*I31^2</f>
        <v>1000000000000</v>
      </c>
      <c r="J42" s="152">
        <f t="shared" si="3"/>
        <v>1000000000000</v>
      </c>
      <c r="K42" s="152">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x14ac:dyDescent="0.25">
      <c r="A43" s="102" t="s">
        <v>189</v>
      </c>
      <c r="B43" s="213">
        <v>0</v>
      </c>
      <c r="D43" s="218"/>
      <c r="E43" s="218"/>
      <c r="F43" s="218"/>
      <c r="G43" s="102" t="s">
        <v>120</v>
      </c>
      <c r="H43" s="152">
        <f>H34*H32^2+H36*H30^2</f>
        <v>1000000000000</v>
      </c>
      <c r="I43" s="152">
        <f t="shared" ref="I43:S43" si="4">I34*I32^2+I36*I30^2</f>
        <v>1000000000000</v>
      </c>
      <c r="J43" s="152">
        <f t="shared" si="4"/>
        <v>1000000000000</v>
      </c>
      <c r="K43" s="152">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x14ac:dyDescent="0.25">
      <c r="A44" s="214" t="s">
        <v>207</v>
      </c>
      <c r="C44" s="87"/>
      <c r="D44" s="218"/>
      <c r="E44" s="218"/>
      <c r="F44" s="218"/>
      <c r="G44" s="102" t="s">
        <v>116</v>
      </c>
      <c r="H44" s="152">
        <f>H34*H31^2+H35*H30^2</f>
        <v>2000000000000</v>
      </c>
      <c r="I44" s="152">
        <f t="shared" ref="I44:S44" si="5">I34*I31^2+I35*I30^2</f>
        <v>2000000000000</v>
      </c>
      <c r="J44" s="152">
        <f t="shared" si="5"/>
        <v>2000000000000</v>
      </c>
      <c r="K44" s="152">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x14ac:dyDescent="0.25">
      <c r="A45" s="102" t="s">
        <v>121</v>
      </c>
      <c r="B45" s="105">
        <f>SQRT((H46^2+I46^2+J46^2+K46^2+L46^2+M46^2+N46^2+O46^2+P46^2+Q46^2+R46^2+S46^2)/H$27)</f>
        <v>5.0000000000000001E-3</v>
      </c>
      <c r="C45" s="87"/>
      <c r="D45" s="218"/>
      <c r="E45" s="218"/>
      <c r="F45" s="218"/>
      <c r="G45" s="82" t="s">
        <v>307</v>
      </c>
    </row>
    <row r="46" spans="1:19" x14ac:dyDescent="0.25">
      <c r="A46" s="102" t="s">
        <v>122</v>
      </c>
      <c r="B46" s="105">
        <f>SQRT((H47^2+I47^2+J47^2+K47^2+L47^2+M47^2+N47^2+O47^2+P47^2+Q47^2+R47^2+S47^2)/H$27)</f>
        <v>5.0000000000000001E-3</v>
      </c>
      <c r="C46" s="87"/>
      <c r="D46" s="198"/>
      <c r="E46" s="198"/>
      <c r="F46" s="198"/>
      <c r="G46" s="102" t="s">
        <v>121</v>
      </c>
      <c r="H46" s="213">
        <f t="shared" ref="H46:K48" si="6">0.005</f>
        <v>5.0000000000000001E-3</v>
      </c>
      <c r="I46" s="213">
        <f t="shared" si="6"/>
        <v>5.0000000000000001E-3</v>
      </c>
      <c r="J46" s="213">
        <f t="shared" si="6"/>
        <v>5.0000000000000001E-3</v>
      </c>
      <c r="K46" s="213">
        <f t="shared" si="6"/>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218"/>
      <c r="E47" s="218"/>
      <c r="F47" s="218"/>
      <c r="G47" s="102" t="s">
        <v>122</v>
      </c>
      <c r="H47" s="213">
        <f t="shared" si="6"/>
        <v>5.0000000000000001E-3</v>
      </c>
      <c r="I47" s="213">
        <f t="shared" si="6"/>
        <v>5.0000000000000001E-3</v>
      </c>
      <c r="J47" s="213">
        <f t="shared" si="6"/>
        <v>5.0000000000000001E-3</v>
      </c>
      <c r="K47" s="213">
        <f t="shared" si="6"/>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5.0000000000000009E-5</v>
      </c>
      <c r="C48" s="87"/>
      <c r="D48" s="218"/>
      <c r="E48" s="218"/>
      <c r="F48" s="218"/>
      <c r="G48" s="102" t="s">
        <v>123</v>
      </c>
      <c r="H48" s="213">
        <f t="shared" si="6"/>
        <v>5.0000000000000001E-3</v>
      </c>
      <c r="I48" s="213">
        <f t="shared" si="6"/>
        <v>5.0000000000000001E-3</v>
      </c>
      <c r="J48" s="213">
        <f t="shared" si="6"/>
        <v>5.0000000000000001E-3</v>
      </c>
      <c r="K48" s="213">
        <f t="shared" si="6"/>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5.0000000000000009E-5</v>
      </c>
      <c r="D49" s="218"/>
      <c r="E49" s="218"/>
      <c r="F49" s="218"/>
      <c r="G49" s="82" t="s">
        <v>252</v>
      </c>
    </row>
    <row r="50" spans="1:20" x14ac:dyDescent="0.25">
      <c r="A50" s="102" t="s">
        <v>87</v>
      </c>
      <c r="B50" s="105">
        <f>SQRT((H52^2+I52^2+J52^2+K52^2+L52^2+M52^2+N52^2+O52^2+P52^2+Q52^2+R52^2+S52^2+B39^2)/H$27)</f>
        <v>4.999999975000001E-5</v>
      </c>
      <c r="C50" s="87"/>
      <c r="D50" s="219"/>
      <c r="E50" s="219"/>
      <c r="F50" s="219"/>
      <c r="G50" s="102" t="s">
        <v>85</v>
      </c>
      <c r="H50" s="152">
        <f>H97</f>
        <v>4.9999999500000004E-5</v>
      </c>
      <c r="I50" s="152">
        <f t="shared" ref="I50:S50" si="7">I97</f>
        <v>4.9999999500000004E-5</v>
      </c>
      <c r="J50" s="152">
        <f t="shared" si="7"/>
        <v>5.0000000500000007E-5</v>
      </c>
      <c r="K50" s="152">
        <f t="shared" si="7"/>
        <v>5.0000000500000007E-5</v>
      </c>
      <c r="L50" s="152">
        <f t="shared" si="7"/>
        <v>0</v>
      </c>
      <c r="M50" s="152">
        <f t="shared" si="7"/>
        <v>0</v>
      </c>
      <c r="N50" s="152">
        <f t="shared" si="7"/>
        <v>0</v>
      </c>
      <c r="O50" s="152">
        <f t="shared" si="7"/>
        <v>0</v>
      </c>
      <c r="P50" s="152">
        <f t="shared" si="7"/>
        <v>0</v>
      </c>
      <c r="Q50" s="152">
        <f t="shared" si="7"/>
        <v>0</v>
      </c>
      <c r="R50" s="152">
        <f t="shared" si="7"/>
        <v>0</v>
      </c>
      <c r="S50" s="152">
        <f t="shared" si="7"/>
        <v>0</v>
      </c>
    </row>
    <row r="51" spans="1:20" ht="47.25" x14ac:dyDescent="0.25">
      <c r="A51" s="215" t="s">
        <v>208</v>
      </c>
      <c r="B51" s="107"/>
      <c r="C51" s="87"/>
      <c r="D51" s="219"/>
      <c r="E51" s="219"/>
      <c r="F51" s="219"/>
      <c r="G51" s="102" t="s">
        <v>86</v>
      </c>
      <c r="H51" s="152">
        <f>H101</f>
        <v>4.9999999500000004E-5</v>
      </c>
      <c r="I51" s="152">
        <f t="shared" ref="I51:S51" si="8">I101</f>
        <v>5.0000000500000007E-5</v>
      </c>
      <c r="J51" s="152">
        <f t="shared" si="8"/>
        <v>5.0000000500000007E-5</v>
      </c>
      <c r="K51" s="152">
        <f t="shared" si="8"/>
        <v>4.9999999500000004E-5</v>
      </c>
      <c r="L51" s="152">
        <f t="shared" si="8"/>
        <v>0</v>
      </c>
      <c r="M51" s="152">
        <f t="shared" si="8"/>
        <v>0</v>
      </c>
      <c r="N51" s="152">
        <f t="shared" si="8"/>
        <v>0</v>
      </c>
      <c r="O51" s="152">
        <f t="shared" si="8"/>
        <v>0</v>
      </c>
      <c r="P51" s="152">
        <f t="shared" si="8"/>
        <v>0</v>
      </c>
      <c r="Q51" s="152">
        <f t="shared" si="8"/>
        <v>0</v>
      </c>
      <c r="R51" s="152">
        <f t="shared" si="8"/>
        <v>0</v>
      </c>
      <c r="S51" s="152">
        <f t="shared" si="8"/>
        <v>0</v>
      </c>
      <c r="T51" s="83"/>
    </row>
    <row r="52" spans="1:20" x14ac:dyDescent="0.25">
      <c r="A52" s="102" t="s">
        <v>121</v>
      </c>
      <c r="B52" s="105">
        <f>SQRT((H54^2+I54^2+J54^2+K54^2+L54^2+M54^2+N54^2+O54^2+P54^2+Q54^2+R54^2+S54^2)/H$27)</f>
        <v>0</v>
      </c>
      <c r="C52" s="87"/>
      <c r="D52" s="219"/>
      <c r="E52" s="219"/>
      <c r="F52" s="219"/>
      <c r="G52" s="102" t="s">
        <v>87</v>
      </c>
      <c r="H52" s="152">
        <f>H105</f>
        <v>4.9999999500000004E-5</v>
      </c>
      <c r="I52" s="152">
        <f t="shared" ref="I52:S52" si="9">I105</f>
        <v>4.9999999500000004E-5</v>
      </c>
      <c r="J52" s="152">
        <f t="shared" si="9"/>
        <v>5.0000000500000007E-5</v>
      </c>
      <c r="K52" s="152">
        <f t="shared" si="9"/>
        <v>4.9999999500000004E-5</v>
      </c>
      <c r="L52" s="152">
        <f t="shared" si="9"/>
        <v>0</v>
      </c>
      <c r="M52" s="152">
        <f t="shared" si="9"/>
        <v>0</v>
      </c>
      <c r="N52" s="152">
        <f t="shared" si="9"/>
        <v>0</v>
      </c>
      <c r="O52" s="152">
        <f t="shared" si="9"/>
        <v>0</v>
      </c>
      <c r="P52" s="152">
        <f t="shared" si="9"/>
        <v>0</v>
      </c>
      <c r="Q52" s="152">
        <f t="shared" si="9"/>
        <v>0</v>
      </c>
      <c r="R52" s="152">
        <f t="shared" si="9"/>
        <v>0</v>
      </c>
      <c r="S52" s="152">
        <f t="shared" si="9"/>
        <v>0</v>
      </c>
    </row>
    <row r="53" spans="1:20" x14ac:dyDescent="0.25">
      <c r="A53" s="102" t="s">
        <v>122</v>
      </c>
      <c r="B53" s="105">
        <f>SQRT((H55^2+I55^2+J55^2+K55^2+L55^2+M55^2+N55^2+O55^2+P55^2+Q55^2+R55^2+S55^2)/H$27)</f>
        <v>0</v>
      </c>
      <c r="C53" s="87"/>
      <c r="D53" s="213"/>
      <c r="E53" s="213"/>
      <c r="F53" s="213"/>
      <c r="G53" s="82" t="s">
        <v>333</v>
      </c>
    </row>
    <row r="54" spans="1:20" x14ac:dyDescent="0.25">
      <c r="A54" s="102" t="s">
        <v>123</v>
      </c>
      <c r="B54" s="105">
        <f>SQRT((H56^2+I56^2+J56^2+K56^2+L56^2+M56^2+N56^2+O56^2+P56^2+Q56^2+R56^2+S56^2)/H$27)</f>
        <v>0</v>
      </c>
      <c r="C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C55" s="87"/>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G57" s="82" t="s">
        <v>253</v>
      </c>
    </row>
    <row r="58" spans="1:20" x14ac:dyDescent="0.25">
      <c r="G58" s="102" t="s">
        <v>85</v>
      </c>
      <c r="H58" s="221">
        <f>H112</f>
        <v>0</v>
      </c>
      <c r="I58" s="221">
        <f t="shared" ref="I58:S58" si="10">I112</f>
        <v>0</v>
      </c>
      <c r="J58" s="221">
        <f t="shared" si="10"/>
        <v>0</v>
      </c>
      <c r="K58" s="221">
        <f t="shared" si="10"/>
        <v>0</v>
      </c>
      <c r="L58" s="221">
        <f t="shared" si="10"/>
        <v>0</v>
      </c>
      <c r="M58" s="221">
        <f t="shared" si="10"/>
        <v>0</v>
      </c>
      <c r="N58" s="221">
        <f t="shared" si="10"/>
        <v>0</v>
      </c>
      <c r="O58" s="221">
        <f t="shared" si="10"/>
        <v>0</v>
      </c>
      <c r="P58" s="221">
        <f t="shared" si="10"/>
        <v>0</v>
      </c>
      <c r="Q58" s="221">
        <f t="shared" si="10"/>
        <v>0</v>
      </c>
      <c r="R58" s="221">
        <f t="shared" si="10"/>
        <v>0</v>
      </c>
      <c r="S58" s="221">
        <f t="shared" si="10"/>
        <v>0</v>
      </c>
    </row>
    <row r="59" spans="1:20" x14ac:dyDescent="0.25">
      <c r="G59" s="102" t="s">
        <v>86</v>
      </c>
      <c r="H59" s="221">
        <f>H117</f>
        <v>0</v>
      </c>
      <c r="I59" s="221">
        <f t="shared" ref="I59:S59" si="11">I117</f>
        <v>0</v>
      </c>
      <c r="J59" s="221">
        <f t="shared" si="11"/>
        <v>0</v>
      </c>
      <c r="K59" s="221">
        <f t="shared" si="11"/>
        <v>0</v>
      </c>
      <c r="L59" s="221">
        <f t="shared" si="11"/>
        <v>0</v>
      </c>
      <c r="M59" s="221">
        <f t="shared" si="11"/>
        <v>0</v>
      </c>
      <c r="N59" s="221">
        <f t="shared" si="11"/>
        <v>0</v>
      </c>
      <c r="O59" s="221">
        <f t="shared" si="11"/>
        <v>0</v>
      </c>
      <c r="P59" s="221">
        <f t="shared" si="11"/>
        <v>0</v>
      </c>
      <c r="Q59" s="221">
        <f t="shared" si="11"/>
        <v>0</v>
      </c>
      <c r="R59" s="221">
        <f t="shared" si="11"/>
        <v>0</v>
      </c>
      <c r="S59" s="221">
        <f t="shared" si="11"/>
        <v>0</v>
      </c>
    </row>
    <row r="60" spans="1:20" x14ac:dyDescent="0.25">
      <c r="G60" s="102" t="s">
        <v>87</v>
      </c>
      <c r="H60" s="221">
        <f>H122</f>
        <v>0</v>
      </c>
      <c r="I60" s="221">
        <f t="shared" ref="I60:S60" si="12">I122</f>
        <v>0</v>
      </c>
      <c r="J60" s="221">
        <f t="shared" si="12"/>
        <v>0</v>
      </c>
      <c r="K60" s="221">
        <f t="shared" si="12"/>
        <v>0</v>
      </c>
      <c r="L60" s="221">
        <f t="shared" si="12"/>
        <v>0</v>
      </c>
      <c r="M60" s="221">
        <f t="shared" si="12"/>
        <v>0</v>
      </c>
      <c r="N60" s="221">
        <f t="shared" si="12"/>
        <v>0</v>
      </c>
      <c r="O60" s="221">
        <f t="shared" si="12"/>
        <v>0</v>
      </c>
      <c r="P60" s="221">
        <f t="shared" si="12"/>
        <v>0</v>
      </c>
      <c r="Q60" s="221">
        <f t="shared" si="12"/>
        <v>0</v>
      </c>
      <c r="R60" s="221">
        <f t="shared" si="12"/>
        <v>0</v>
      </c>
      <c r="S60" s="221">
        <f t="shared" si="12"/>
        <v>0</v>
      </c>
    </row>
    <row r="61" spans="1:20" x14ac:dyDescent="0.25">
      <c r="G61" s="214"/>
    </row>
    <row r="62" spans="1:20" x14ac:dyDescent="0.25">
      <c r="I62" s="118"/>
      <c r="J62" s="118"/>
      <c r="K62" s="118"/>
      <c r="L62" s="118"/>
      <c r="M62" s="118"/>
      <c r="N62" s="118"/>
    </row>
    <row r="63" spans="1:20" x14ac:dyDescent="0.25">
      <c r="G63" s="119"/>
      <c r="H63" s="344"/>
      <c r="I63" s="147"/>
      <c r="J63" s="147"/>
      <c r="K63" s="147"/>
      <c r="L63" s="147"/>
      <c r="M63" s="147"/>
      <c r="N63" s="147"/>
      <c r="O63" s="118"/>
    </row>
    <row r="64" spans="1:20" x14ac:dyDescent="0.25">
      <c r="G64" s="119"/>
      <c r="H64" s="344"/>
      <c r="I64" s="147"/>
      <c r="J64" s="147"/>
      <c r="K64" s="147"/>
      <c r="L64" s="147"/>
      <c r="M64" s="147"/>
      <c r="N64" s="147"/>
      <c r="O64" s="118"/>
    </row>
    <row r="65" spans="1:15" x14ac:dyDescent="0.25">
      <c r="G65" s="119"/>
      <c r="H65" s="344"/>
      <c r="I65" s="147"/>
      <c r="J65" s="147"/>
      <c r="K65" s="147"/>
      <c r="L65" s="147"/>
      <c r="M65" s="147"/>
      <c r="N65" s="147"/>
      <c r="O65" s="118"/>
    </row>
    <row r="66" spans="1:15" x14ac:dyDescent="0.25">
      <c r="G66" s="119"/>
      <c r="H66" s="344"/>
      <c r="I66" s="147"/>
      <c r="J66" s="147"/>
      <c r="K66" s="147"/>
      <c r="L66" s="147"/>
      <c r="M66" s="147"/>
      <c r="N66" s="147"/>
      <c r="O66" s="118"/>
    </row>
    <row r="67" spans="1:15" x14ac:dyDescent="0.25">
      <c r="G67" s="119"/>
      <c r="H67" s="344"/>
      <c r="I67" s="147"/>
      <c r="J67" s="147"/>
      <c r="K67" s="147"/>
      <c r="L67" s="147"/>
      <c r="M67" s="147"/>
      <c r="N67" s="147"/>
      <c r="O67" s="118"/>
    </row>
    <row r="68" spans="1:15" x14ac:dyDescent="0.25">
      <c r="G68" s="119"/>
      <c r="H68" s="344"/>
      <c r="I68" s="147"/>
      <c r="J68" s="147"/>
      <c r="K68" s="147"/>
      <c r="L68" s="147"/>
      <c r="M68" s="147"/>
      <c r="N68" s="147"/>
      <c r="O68" s="118"/>
    </row>
    <row r="69" spans="1:15" x14ac:dyDescent="0.25">
      <c r="G69" s="119"/>
      <c r="H69" s="195"/>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A78" s="102"/>
      <c r="B78" s="209"/>
      <c r="G78" s="119"/>
      <c r="H78" s="195"/>
      <c r="I78" s="222"/>
      <c r="J78" s="222"/>
      <c r="K78" s="222"/>
      <c r="L78" s="222"/>
      <c r="M78" s="222"/>
      <c r="N78" s="222"/>
      <c r="O78" s="118"/>
    </row>
    <row r="79" spans="1:15" x14ac:dyDescent="0.25">
      <c r="A79" s="102"/>
      <c r="B79" s="209"/>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260</v>
      </c>
    </row>
    <row r="94" spans="1:19" x14ac:dyDescent="0.25">
      <c r="A94" s="102"/>
      <c r="B94" s="209"/>
      <c r="G94" s="211"/>
      <c r="H94" s="149" t="s">
        <v>261</v>
      </c>
    </row>
    <row r="95" spans="1:19" x14ac:dyDescent="0.25">
      <c r="A95" s="102"/>
      <c r="B95" s="209"/>
      <c r="G95" s="149" t="s">
        <v>259</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x14ac:dyDescent="0.25">
      <c r="A96" s="102"/>
      <c r="B96" s="209"/>
      <c r="G96" s="149" t="s">
        <v>259</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02"/>
      <c r="B97" s="209"/>
      <c r="G97" s="81" t="s">
        <v>257</v>
      </c>
      <c r="H97" s="224">
        <f>IF(MIN(H95,H96)&gt;1,0,MIN(H95,H96))</f>
        <v>4.9999999500000004E-5</v>
      </c>
      <c r="I97" s="224">
        <f t="shared" ref="I97:S97" si="15">IF(MIN(I95,I96)&gt;1,0,MIN(I95,I96))</f>
        <v>4.9999999500000004E-5</v>
      </c>
      <c r="J97" s="224">
        <f t="shared" si="15"/>
        <v>5.0000000500000007E-5</v>
      </c>
      <c r="K97" s="224">
        <f t="shared" si="15"/>
        <v>5.0000000500000007E-5</v>
      </c>
      <c r="L97" s="224">
        <f t="shared" si="15"/>
        <v>0</v>
      </c>
      <c r="M97" s="224">
        <f t="shared" si="15"/>
        <v>0</v>
      </c>
      <c r="N97" s="224">
        <f t="shared" si="15"/>
        <v>0</v>
      </c>
      <c r="O97" s="224">
        <f t="shared" si="15"/>
        <v>0</v>
      </c>
      <c r="P97" s="224">
        <f t="shared" si="15"/>
        <v>0</v>
      </c>
      <c r="Q97" s="224">
        <f t="shared" si="15"/>
        <v>0</v>
      </c>
      <c r="R97" s="224">
        <f t="shared" si="15"/>
        <v>0</v>
      </c>
      <c r="S97" s="224">
        <f t="shared" si="15"/>
        <v>0</v>
      </c>
    </row>
    <row r="98" spans="1:19" x14ac:dyDescent="0.25">
      <c r="A98" s="102"/>
      <c r="B98" s="209"/>
      <c r="H98" s="149" t="s">
        <v>262</v>
      </c>
      <c r="I98" s="149"/>
      <c r="J98" s="149"/>
      <c r="K98" s="149"/>
      <c r="L98" s="149"/>
      <c r="M98" s="149"/>
      <c r="N98" s="149"/>
      <c r="O98" s="149"/>
      <c r="P98" s="149"/>
      <c r="Q98" s="149"/>
      <c r="R98" s="149"/>
      <c r="S98" s="149"/>
    </row>
    <row r="99" spans="1:19" x14ac:dyDescent="0.25">
      <c r="A99" s="102"/>
      <c r="B99" s="209"/>
      <c r="G99" s="115" t="s">
        <v>259</v>
      </c>
      <c r="H99" s="154">
        <f t="shared" ref="H99:S99" si="16">H48/ABS(H30+0.000001)</f>
        <v>4.9999999500000004E-5</v>
      </c>
      <c r="I99" s="154">
        <f t="shared" si="16"/>
        <v>5.0000000500000007E-5</v>
      </c>
      <c r="J99" s="154">
        <f t="shared" si="16"/>
        <v>5.0000000500000007E-5</v>
      </c>
      <c r="K99" s="154">
        <f t="shared" si="16"/>
        <v>4.9999999500000004E-5</v>
      </c>
      <c r="L99" s="154">
        <f t="shared" si="16"/>
        <v>0</v>
      </c>
      <c r="M99" s="154">
        <f t="shared" si="16"/>
        <v>0</v>
      </c>
      <c r="N99" s="154">
        <f t="shared" si="16"/>
        <v>0</v>
      </c>
      <c r="O99" s="154">
        <f t="shared" si="16"/>
        <v>0</v>
      </c>
      <c r="P99" s="154">
        <f t="shared" si="16"/>
        <v>0</v>
      </c>
      <c r="Q99" s="154">
        <f t="shared" si="16"/>
        <v>0</v>
      </c>
      <c r="R99" s="154">
        <f t="shared" si="16"/>
        <v>0</v>
      </c>
      <c r="S99" s="154">
        <f t="shared" si="16"/>
        <v>0</v>
      </c>
    </row>
    <row r="100" spans="1:19" x14ac:dyDescent="0.25">
      <c r="A100" s="102"/>
      <c r="B100" s="209"/>
      <c r="G100" s="115" t="s">
        <v>259</v>
      </c>
      <c r="H100" s="225">
        <f t="shared" ref="H100:S100" si="17">H46/ABS(H32+0.000001)</f>
        <v>5000</v>
      </c>
      <c r="I100" s="225">
        <f t="shared" si="17"/>
        <v>5000</v>
      </c>
      <c r="J100" s="225">
        <f t="shared" si="17"/>
        <v>5000</v>
      </c>
      <c r="K100" s="225">
        <f t="shared" si="17"/>
        <v>5000</v>
      </c>
      <c r="L100" s="225">
        <f t="shared" si="17"/>
        <v>0</v>
      </c>
      <c r="M100" s="225">
        <f t="shared" si="17"/>
        <v>0</v>
      </c>
      <c r="N100" s="225">
        <f t="shared" si="17"/>
        <v>0</v>
      </c>
      <c r="O100" s="225">
        <f t="shared" si="17"/>
        <v>0</v>
      </c>
      <c r="P100" s="225">
        <f t="shared" si="17"/>
        <v>0</v>
      </c>
      <c r="Q100" s="225">
        <f t="shared" si="17"/>
        <v>0</v>
      </c>
      <c r="R100" s="225">
        <f t="shared" si="17"/>
        <v>0</v>
      </c>
      <c r="S100" s="225">
        <f t="shared" si="17"/>
        <v>0</v>
      </c>
    </row>
    <row r="101" spans="1:19" x14ac:dyDescent="0.25">
      <c r="A101" s="102"/>
      <c r="B101" s="209"/>
      <c r="G101" s="81" t="s">
        <v>257</v>
      </c>
      <c r="H101" s="224">
        <f>IF(MIN(H99,H100)&gt;1,0,MIN(H99,H100))</f>
        <v>4.9999999500000004E-5</v>
      </c>
      <c r="I101" s="224">
        <f t="shared" ref="I101:S101" si="18">IF(MIN(I99,I100)&gt;1,0,MIN(I99,I100))</f>
        <v>5.0000000500000007E-5</v>
      </c>
      <c r="J101" s="224">
        <f t="shared" si="18"/>
        <v>5.0000000500000007E-5</v>
      </c>
      <c r="K101" s="224">
        <f t="shared" si="18"/>
        <v>4.9999999500000004E-5</v>
      </c>
      <c r="L101" s="224">
        <f t="shared" si="18"/>
        <v>0</v>
      </c>
      <c r="M101" s="224">
        <f t="shared" si="18"/>
        <v>0</v>
      </c>
      <c r="N101" s="224">
        <f t="shared" si="18"/>
        <v>0</v>
      </c>
      <c r="O101" s="224">
        <f t="shared" si="18"/>
        <v>0</v>
      </c>
      <c r="P101" s="224">
        <f t="shared" si="18"/>
        <v>0</v>
      </c>
      <c r="Q101" s="224">
        <f t="shared" si="18"/>
        <v>0</v>
      </c>
      <c r="R101" s="224">
        <f t="shared" si="18"/>
        <v>0</v>
      </c>
      <c r="S101" s="224">
        <f t="shared" si="18"/>
        <v>0</v>
      </c>
    </row>
    <row r="102" spans="1:19" x14ac:dyDescent="0.25">
      <c r="A102" s="102"/>
      <c r="B102" s="209"/>
      <c r="H102" s="81" t="s">
        <v>263</v>
      </c>
    </row>
    <row r="103" spans="1:19" x14ac:dyDescent="0.25">
      <c r="A103" s="102"/>
      <c r="B103" s="209"/>
      <c r="G103" s="149" t="s">
        <v>259</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x14ac:dyDescent="0.25">
      <c r="A104" s="102"/>
      <c r="B104" s="209"/>
      <c r="G104" s="149" t="s">
        <v>259</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02"/>
      <c r="B105" s="209"/>
      <c r="G105" s="81" t="s">
        <v>257</v>
      </c>
      <c r="H105" s="224">
        <f>IF(MIN(H103,H104)&gt;1,0,MIN(H103,H104))</f>
        <v>4.9999999500000004E-5</v>
      </c>
      <c r="I105" s="224">
        <f t="shared" ref="I105:S105" si="21">IF(MIN(I103,I104)&gt;1,0,MIN(I103,I104))</f>
        <v>4.9999999500000004E-5</v>
      </c>
      <c r="J105" s="224">
        <f t="shared" si="21"/>
        <v>5.0000000500000007E-5</v>
      </c>
      <c r="K105" s="224">
        <f t="shared" si="21"/>
        <v>4.9999999500000004E-5</v>
      </c>
      <c r="L105" s="224">
        <f t="shared" si="21"/>
        <v>0</v>
      </c>
      <c r="M105" s="224">
        <f t="shared" si="21"/>
        <v>0</v>
      </c>
      <c r="N105" s="224">
        <f t="shared" si="21"/>
        <v>0</v>
      </c>
      <c r="O105" s="224">
        <f t="shared" si="21"/>
        <v>0</v>
      </c>
      <c r="P105" s="224">
        <f t="shared" si="21"/>
        <v>0</v>
      </c>
      <c r="Q105" s="224">
        <f t="shared" si="21"/>
        <v>0</v>
      </c>
      <c r="R105" s="224">
        <f t="shared" si="21"/>
        <v>0</v>
      </c>
      <c r="S105" s="224">
        <f t="shared" si="21"/>
        <v>0</v>
      </c>
    </row>
    <row r="106" spans="1:19" x14ac:dyDescent="0.25">
      <c r="A106" s="102"/>
      <c r="B106" s="209"/>
    </row>
    <row r="107" spans="1:19" x14ac:dyDescent="0.25">
      <c r="A107" s="102"/>
      <c r="B107" s="209"/>
      <c r="G107" s="223" t="s">
        <v>308</v>
      </c>
      <c r="H107" s="223"/>
      <c r="I107" s="223"/>
      <c r="J107" s="223"/>
      <c r="K107" s="223"/>
      <c r="L107" s="223"/>
      <c r="M107" s="223"/>
      <c r="N107" s="223"/>
      <c r="O107" s="223"/>
      <c r="P107" s="223"/>
    </row>
    <row r="108" spans="1:19" x14ac:dyDescent="0.25">
      <c r="H108" s="102" t="s">
        <v>254</v>
      </c>
      <c r="I108" s="102"/>
      <c r="J108" s="102"/>
      <c r="K108" s="102"/>
      <c r="L108" s="102"/>
      <c r="M108" s="102"/>
      <c r="N108" s="102"/>
      <c r="O108" s="102"/>
      <c r="P108" s="102"/>
      <c r="Q108" s="102"/>
      <c r="R108" s="102"/>
      <c r="S108" s="102"/>
    </row>
    <row r="109" spans="1:19" x14ac:dyDescent="0.25">
      <c r="G109" s="149" t="s">
        <v>259</v>
      </c>
      <c r="H109" s="224">
        <f t="shared" ref="H109:S109" si="22">H55/(H32+0.000001)</f>
        <v>0</v>
      </c>
      <c r="I109" s="224">
        <f t="shared" si="22"/>
        <v>0</v>
      </c>
      <c r="J109" s="224">
        <f t="shared" si="22"/>
        <v>0</v>
      </c>
      <c r="K109" s="224">
        <f t="shared" si="22"/>
        <v>0</v>
      </c>
      <c r="L109" s="224">
        <f t="shared" si="22"/>
        <v>0</v>
      </c>
      <c r="M109" s="224">
        <f t="shared" si="22"/>
        <v>0</v>
      </c>
      <c r="N109" s="224">
        <f t="shared" si="22"/>
        <v>0</v>
      </c>
      <c r="O109" s="224">
        <f t="shared" si="22"/>
        <v>0</v>
      </c>
      <c r="P109" s="224">
        <f t="shared" si="22"/>
        <v>0</v>
      </c>
      <c r="Q109" s="224">
        <f t="shared" si="22"/>
        <v>0</v>
      </c>
      <c r="R109" s="224">
        <f t="shared" si="22"/>
        <v>0</v>
      </c>
      <c r="S109" s="224">
        <f t="shared" si="22"/>
        <v>0</v>
      </c>
    </row>
    <row r="110" spans="1:19" x14ac:dyDescent="0.25">
      <c r="G110" s="149" t="s">
        <v>259</v>
      </c>
      <c r="H110" s="226">
        <f t="shared" ref="H110:S110" si="23">H56/(H31+0.000001)</f>
        <v>0</v>
      </c>
      <c r="I110" s="226">
        <f t="shared" si="23"/>
        <v>0</v>
      </c>
      <c r="J110" s="226">
        <f t="shared" si="23"/>
        <v>0</v>
      </c>
      <c r="K110" s="226">
        <f t="shared" si="23"/>
        <v>0</v>
      </c>
      <c r="L110" s="226">
        <f t="shared" si="23"/>
        <v>0</v>
      </c>
      <c r="M110" s="226">
        <f t="shared" si="23"/>
        <v>0</v>
      </c>
      <c r="N110" s="226">
        <f t="shared" si="23"/>
        <v>0</v>
      </c>
      <c r="O110" s="226">
        <f t="shared" si="23"/>
        <v>0</v>
      </c>
      <c r="P110" s="226">
        <f t="shared" si="23"/>
        <v>0</v>
      </c>
      <c r="Q110" s="226">
        <f t="shared" si="23"/>
        <v>0</v>
      </c>
      <c r="R110" s="226">
        <f t="shared" si="23"/>
        <v>0</v>
      </c>
      <c r="S110" s="226">
        <f t="shared" si="23"/>
        <v>0</v>
      </c>
    </row>
    <row r="111" spans="1:19" x14ac:dyDescent="0.25">
      <c r="G111" s="81" t="s">
        <v>258</v>
      </c>
      <c r="H111" s="144">
        <f>SIGN(H109+0.000000000001)*SIGN(H110+0.000000000001)</f>
        <v>1</v>
      </c>
      <c r="I111" s="144">
        <f t="shared" ref="I111:S111" si="24">SIGN(I109+0.000000000001)*SIGN(I110+0.000000000001)</f>
        <v>1</v>
      </c>
      <c r="J111" s="144">
        <f t="shared" si="24"/>
        <v>1</v>
      </c>
      <c r="K111" s="144">
        <f t="shared" si="24"/>
        <v>1</v>
      </c>
      <c r="L111" s="144">
        <f t="shared" si="24"/>
        <v>1</v>
      </c>
      <c r="M111" s="144">
        <f t="shared" si="24"/>
        <v>1</v>
      </c>
      <c r="N111" s="144">
        <f t="shared" si="24"/>
        <v>1</v>
      </c>
      <c r="O111" s="144">
        <f t="shared" si="24"/>
        <v>1</v>
      </c>
      <c r="P111" s="144">
        <f t="shared" si="24"/>
        <v>1</v>
      </c>
      <c r="Q111" s="144">
        <f t="shared" si="24"/>
        <v>1</v>
      </c>
      <c r="R111" s="144">
        <f t="shared" si="24"/>
        <v>1</v>
      </c>
      <c r="S111" s="144">
        <f t="shared" si="24"/>
        <v>1</v>
      </c>
    </row>
    <row r="112" spans="1:19" x14ac:dyDescent="0.25">
      <c r="G112" s="81" t="s">
        <v>257</v>
      </c>
      <c r="H112" s="224">
        <f>IF(H111*MIN(ABS(H109),ABS(H110))&gt;1,0,H111*MIN(ABS(H109),ABS(H110)))</f>
        <v>0</v>
      </c>
      <c r="I112" s="224">
        <f t="shared" ref="I112:S112" si="25">IF(I111*MIN(ABS(I109),ABS(I110))&gt;1,0,I111*MIN(ABS(I109),ABS(I110)))</f>
        <v>0</v>
      </c>
      <c r="J112" s="224">
        <f t="shared" si="25"/>
        <v>0</v>
      </c>
      <c r="K112" s="224">
        <f t="shared" si="25"/>
        <v>0</v>
      </c>
      <c r="L112" s="224">
        <f t="shared" si="25"/>
        <v>0</v>
      </c>
      <c r="M112" s="224">
        <f t="shared" si="25"/>
        <v>0</v>
      </c>
      <c r="N112" s="224">
        <f t="shared" si="25"/>
        <v>0</v>
      </c>
      <c r="O112" s="224">
        <f t="shared" si="25"/>
        <v>0</v>
      </c>
      <c r="P112" s="224">
        <f t="shared" si="25"/>
        <v>0</v>
      </c>
      <c r="Q112" s="224">
        <f t="shared" si="25"/>
        <v>0</v>
      </c>
      <c r="R112" s="224">
        <f t="shared" si="25"/>
        <v>0</v>
      </c>
      <c r="S112" s="224">
        <f t="shared" si="25"/>
        <v>0</v>
      </c>
    </row>
    <row r="113" spans="7:19" x14ac:dyDescent="0.25">
      <c r="H113" s="102" t="s">
        <v>255</v>
      </c>
      <c r="I113" s="102"/>
      <c r="J113" s="102"/>
      <c r="K113" s="102"/>
      <c r="L113" s="102"/>
      <c r="M113" s="102"/>
      <c r="N113" s="102"/>
      <c r="O113" s="102"/>
      <c r="P113" s="102"/>
      <c r="Q113" s="102"/>
      <c r="R113" s="102"/>
      <c r="S113" s="102"/>
    </row>
    <row r="114" spans="7:19" x14ac:dyDescent="0.25">
      <c r="G114" s="115" t="s">
        <v>259</v>
      </c>
      <c r="H114" s="154">
        <f t="shared" ref="H114:S114" si="26">-H56/(H30+0.000001)</f>
        <v>0</v>
      </c>
      <c r="I114" s="154">
        <f t="shared" si="26"/>
        <v>0</v>
      </c>
      <c r="J114" s="154">
        <f t="shared" si="26"/>
        <v>0</v>
      </c>
      <c r="K114" s="154">
        <f t="shared" si="26"/>
        <v>0</v>
      </c>
      <c r="L114" s="154">
        <f t="shared" si="26"/>
        <v>0</v>
      </c>
      <c r="M114" s="154">
        <f t="shared" si="26"/>
        <v>0</v>
      </c>
      <c r="N114" s="154">
        <f t="shared" si="26"/>
        <v>0</v>
      </c>
      <c r="O114" s="154">
        <f t="shared" si="26"/>
        <v>0</v>
      </c>
      <c r="P114" s="154">
        <f t="shared" si="26"/>
        <v>0</v>
      </c>
      <c r="Q114" s="154">
        <f t="shared" si="26"/>
        <v>0</v>
      </c>
      <c r="R114" s="154">
        <f t="shared" si="26"/>
        <v>0</v>
      </c>
      <c r="S114" s="154">
        <f t="shared" si="26"/>
        <v>0</v>
      </c>
    </row>
    <row r="115" spans="7:19" x14ac:dyDescent="0.25">
      <c r="G115" s="115" t="s">
        <v>259</v>
      </c>
      <c r="H115" s="154">
        <f t="shared" ref="H115:S115" si="27">H54/(H32+0.000001)</f>
        <v>0</v>
      </c>
      <c r="I115" s="154">
        <f t="shared" si="27"/>
        <v>0</v>
      </c>
      <c r="J115" s="154">
        <f t="shared" si="27"/>
        <v>0</v>
      </c>
      <c r="K115" s="154">
        <f t="shared" si="27"/>
        <v>0</v>
      </c>
      <c r="L115" s="154">
        <f t="shared" si="27"/>
        <v>0</v>
      </c>
      <c r="M115" s="154">
        <f t="shared" si="27"/>
        <v>0</v>
      </c>
      <c r="N115" s="154">
        <f t="shared" si="27"/>
        <v>0</v>
      </c>
      <c r="O115" s="154">
        <f t="shared" si="27"/>
        <v>0</v>
      </c>
      <c r="P115" s="154">
        <f t="shared" si="27"/>
        <v>0</v>
      </c>
      <c r="Q115" s="154">
        <f t="shared" si="27"/>
        <v>0</v>
      </c>
      <c r="R115" s="154">
        <f t="shared" si="27"/>
        <v>0</v>
      </c>
      <c r="S115" s="154">
        <f t="shared" si="27"/>
        <v>0</v>
      </c>
    </row>
    <row r="116" spans="7:19" x14ac:dyDescent="0.25">
      <c r="G116" s="154" t="s">
        <v>258</v>
      </c>
      <c r="H116" s="227">
        <f>SIGN(H114+0.000000000001)*SIGN(H115+0.000000000001)</f>
        <v>1</v>
      </c>
      <c r="I116" s="227">
        <f t="shared" ref="I116:S116" si="28">SIGN(I114+0.000000000001)*SIGN(I115+0.000000000001)</f>
        <v>1</v>
      </c>
      <c r="J116" s="227">
        <f t="shared" si="28"/>
        <v>1</v>
      </c>
      <c r="K116" s="227">
        <f t="shared" si="28"/>
        <v>1</v>
      </c>
      <c r="L116" s="227">
        <f t="shared" si="28"/>
        <v>1</v>
      </c>
      <c r="M116" s="227">
        <f t="shared" si="28"/>
        <v>1</v>
      </c>
      <c r="N116" s="227">
        <f t="shared" si="28"/>
        <v>1</v>
      </c>
      <c r="O116" s="227">
        <f t="shared" si="28"/>
        <v>1</v>
      </c>
      <c r="P116" s="227">
        <f t="shared" si="28"/>
        <v>1</v>
      </c>
      <c r="Q116" s="227">
        <f t="shared" si="28"/>
        <v>1</v>
      </c>
      <c r="R116" s="227">
        <f t="shared" si="28"/>
        <v>1</v>
      </c>
      <c r="S116" s="227">
        <f t="shared" si="28"/>
        <v>1</v>
      </c>
    </row>
    <row r="117" spans="7:19" x14ac:dyDescent="0.25">
      <c r="G117" s="154" t="s">
        <v>257</v>
      </c>
      <c r="H117" s="228">
        <f>IF(H116*MIN(ABS(H114),ABS(H115))&gt;1,0,H116*MIN(ABS(H114),ABS(H115)))</f>
        <v>0</v>
      </c>
      <c r="I117" s="228">
        <f t="shared" ref="I117:S117" si="29">IF(I116*MIN(ABS(I114),ABS(I115))&gt;1,0,I116*MIN(ABS(I114),ABS(I115)))</f>
        <v>0</v>
      </c>
      <c r="J117" s="228">
        <f t="shared" si="29"/>
        <v>0</v>
      </c>
      <c r="K117" s="228">
        <f t="shared" si="29"/>
        <v>0</v>
      </c>
      <c r="L117" s="228">
        <f t="shared" si="29"/>
        <v>0</v>
      </c>
      <c r="M117" s="228">
        <f t="shared" si="29"/>
        <v>0</v>
      </c>
      <c r="N117" s="228">
        <f t="shared" si="29"/>
        <v>0</v>
      </c>
      <c r="O117" s="228">
        <f t="shared" si="29"/>
        <v>0</v>
      </c>
      <c r="P117" s="228">
        <f t="shared" si="29"/>
        <v>0</v>
      </c>
      <c r="Q117" s="228">
        <f t="shared" si="29"/>
        <v>0</v>
      </c>
      <c r="R117" s="228">
        <f t="shared" si="29"/>
        <v>0</v>
      </c>
      <c r="S117" s="228">
        <f t="shared" si="29"/>
        <v>0</v>
      </c>
    </row>
    <row r="118" spans="7:19" x14ac:dyDescent="0.25">
      <c r="H118" s="102" t="s">
        <v>256</v>
      </c>
      <c r="I118" s="102"/>
      <c r="J118" s="102"/>
      <c r="K118" s="102"/>
      <c r="L118" s="102"/>
      <c r="M118" s="102"/>
      <c r="N118" s="102"/>
      <c r="O118" s="102"/>
      <c r="P118" s="102"/>
      <c r="Q118" s="102"/>
      <c r="R118" s="102"/>
      <c r="S118" s="102"/>
    </row>
    <row r="119" spans="7:19" x14ac:dyDescent="0.25">
      <c r="G119" s="149" t="s">
        <v>259</v>
      </c>
      <c r="H119" s="224">
        <f t="shared" ref="H119:S119" si="30">H55/(H30+0.000001)</f>
        <v>0</v>
      </c>
      <c r="I119" s="224">
        <f t="shared" si="30"/>
        <v>0</v>
      </c>
      <c r="J119" s="224">
        <f t="shared" si="30"/>
        <v>0</v>
      </c>
      <c r="K119" s="224">
        <f t="shared" si="30"/>
        <v>0</v>
      </c>
      <c r="L119" s="224">
        <f t="shared" si="30"/>
        <v>0</v>
      </c>
      <c r="M119" s="224">
        <f t="shared" si="30"/>
        <v>0</v>
      </c>
      <c r="N119" s="224">
        <f t="shared" si="30"/>
        <v>0</v>
      </c>
      <c r="O119" s="224">
        <f t="shared" si="30"/>
        <v>0</v>
      </c>
      <c r="P119" s="224">
        <f t="shared" si="30"/>
        <v>0</v>
      </c>
      <c r="Q119" s="224">
        <f t="shared" si="30"/>
        <v>0</v>
      </c>
      <c r="R119" s="224">
        <f t="shared" si="30"/>
        <v>0</v>
      </c>
      <c r="S119" s="224">
        <f t="shared" si="30"/>
        <v>0</v>
      </c>
    </row>
    <row r="120" spans="7:19" x14ac:dyDescent="0.25">
      <c r="G120" s="149" t="s">
        <v>259</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x14ac:dyDescent="0.25">
      <c r="G121" s="81" t="s">
        <v>258</v>
      </c>
      <c r="H121" s="144">
        <f>SIGN(H119+0.000000000001)*SIGN(H120+0.000000000001)</f>
        <v>1</v>
      </c>
      <c r="I121" s="144">
        <f t="shared" ref="I121:S121" si="32">SIGN(I119+0.000000000001)*SIGN(I120+0.000000000001)</f>
        <v>1</v>
      </c>
      <c r="J121" s="144">
        <f t="shared" si="32"/>
        <v>1</v>
      </c>
      <c r="K121" s="144">
        <f t="shared" si="32"/>
        <v>1</v>
      </c>
      <c r="L121" s="144">
        <f t="shared" si="32"/>
        <v>1</v>
      </c>
      <c r="M121" s="144">
        <f t="shared" si="32"/>
        <v>1</v>
      </c>
      <c r="N121" s="144">
        <f t="shared" si="32"/>
        <v>1</v>
      </c>
      <c r="O121" s="144">
        <f t="shared" si="32"/>
        <v>1</v>
      </c>
      <c r="P121" s="144">
        <f t="shared" si="32"/>
        <v>1</v>
      </c>
      <c r="Q121" s="144">
        <f t="shared" si="32"/>
        <v>1</v>
      </c>
      <c r="R121" s="144">
        <f t="shared" si="32"/>
        <v>1</v>
      </c>
      <c r="S121" s="144">
        <f t="shared" si="32"/>
        <v>1</v>
      </c>
    </row>
    <row r="122" spans="7:19" x14ac:dyDescent="0.25">
      <c r="G122" s="81" t="s">
        <v>257</v>
      </c>
      <c r="H122" s="224">
        <f>IF(H121*MIN(ABS(H119),ABS(H120))&gt;1,0,H121*MIN(ABS(H119),ABS(H120)))</f>
        <v>0</v>
      </c>
      <c r="I122" s="224">
        <f t="shared" ref="I122:S122" si="33">IF(I121*MIN(ABS(I119),ABS(I120))&gt;1,0,I121*MIN(ABS(I119),ABS(I120)))</f>
        <v>0</v>
      </c>
      <c r="J122" s="224">
        <f t="shared" si="33"/>
        <v>0</v>
      </c>
      <c r="K122" s="224">
        <f t="shared" si="33"/>
        <v>0</v>
      </c>
      <c r="L122" s="224">
        <f t="shared" si="33"/>
        <v>0</v>
      </c>
      <c r="M122" s="224">
        <f t="shared" si="33"/>
        <v>0</v>
      </c>
      <c r="N122" s="224">
        <f t="shared" si="33"/>
        <v>0</v>
      </c>
      <c r="O122" s="224">
        <f t="shared" si="33"/>
        <v>0</v>
      </c>
      <c r="P122" s="224">
        <f t="shared" si="33"/>
        <v>0</v>
      </c>
      <c r="Q122" s="224">
        <f t="shared" si="33"/>
        <v>0</v>
      </c>
      <c r="R122" s="224">
        <f t="shared" si="33"/>
        <v>0</v>
      </c>
      <c r="S122" s="224">
        <f t="shared" si="33"/>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9.87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Loads'!A243</f>
        <v>CS 8</v>
      </c>
      <c r="B1" s="205" t="str">
        <f>'CSs and Loads'!A121</f>
        <v>Member 4</v>
      </c>
    </row>
    <row r="2" spans="1:18" x14ac:dyDescent="0.25">
      <c r="A2" s="82" t="s">
        <v>132</v>
      </c>
      <c r="I2" s="206"/>
      <c r="L2" s="207"/>
      <c r="M2" s="207"/>
      <c r="N2" s="207"/>
    </row>
    <row r="3" spans="1:18" x14ac:dyDescent="0.25">
      <c r="A3" s="208" t="s">
        <v>111</v>
      </c>
      <c r="E3" s="367" t="s">
        <v>372</v>
      </c>
      <c r="F3" s="367"/>
      <c r="G3" s="367"/>
      <c r="H3" s="367"/>
      <c r="I3" s="367"/>
      <c r="J3" s="367"/>
      <c r="K3" s="367"/>
      <c r="L3" s="367"/>
      <c r="M3" s="367"/>
      <c r="O3" s="209"/>
      <c r="P3" s="209"/>
      <c r="Q3" s="209"/>
      <c r="R3" s="209"/>
    </row>
    <row r="4" spans="1:18" x14ac:dyDescent="0.25">
      <c r="A4" s="208"/>
      <c r="C4" s="82" t="s">
        <v>369</v>
      </c>
      <c r="D4" s="82"/>
      <c r="E4" s="379" t="s">
        <v>371</v>
      </c>
      <c r="F4" s="379"/>
      <c r="G4" s="379"/>
      <c r="H4" s="379"/>
      <c r="I4" s="379"/>
      <c r="J4" s="379"/>
      <c r="K4" s="379"/>
      <c r="L4" s="379"/>
      <c r="M4" s="379"/>
      <c r="O4" s="209"/>
      <c r="P4" s="209"/>
      <c r="Q4" s="209"/>
      <c r="R4" s="209"/>
    </row>
    <row r="5" spans="1:18" x14ac:dyDescent="0.25">
      <c r="A5" s="208"/>
      <c r="C5" s="102" t="s">
        <v>367</v>
      </c>
      <c r="D5" s="82">
        <v>25</v>
      </c>
      <c r="E5" s="119" t="s">
        <v>282</v>
      </c>
      <c r="F5" s="344" t="s">
        <v>285</v>
      </c>
      <c r="G5" s="147">
        <v>0</v>
      </c>
      <c r="H5" s="147">
        <v>0</v>
      </c>
      <c r="I5" s="147">
        <v>0</v>
      </c>
      <c r="J5" s="147">
        <v>0</v>
      </c>
      <c r="K5" s="147">
        <v>0</v>
      </c>
      <c r="L5" s="147">
        <v>0</v>
      </c>
      <c r="M5" s="214" t="s">
        <v>276</v>
      </c>
      <c r="O5" s="209"/>
      <c r="P5" s="209"/>
      <c r="Q5" s="209"/>
      <c r="R5" s="209"/>
    </row>
    <row r="6" spans="1:18" x14ac:dyDescent="0.25">
      <c r="A6" s="208"/>
      <c r="C6" s="102" t="s">
        <v>32</v>
      </c>
      <c r="D6" s="82">
        <f>1770*9.8</f>
        <v>17346</v>
      </c>
      <c r="E6" s="119" t="s">
        <v>283</v>
      </c>
      <c r="F6" s="344"/>
      <c r="G6" s="147">
        <v>0</v>
      </c>
      <c r="H6" s="147">
        <v>0</v>
      </c>
      <c r="I6" s="147">
        <v>0</v>
      </c>
      <c r="J6" s="147">
        <v>0</v>
      </c>
      <c r="K6" s="147">
        <v>0</v>
      </c>
      <c r="L6" s="147">
        <v>0</v>
      </c>
      <c r="M6" s="214" t="s">
        <v>277</v>
      </c>
      <c r="O6" s="209"/>
      <c r="P6" s="209"/>
      <c r="Q6" s="209"/>
      <c r="R6" s="209"/>
    </row>
    <row r="7" spans="1:18" x14ac:dyDescent="0.25">
      <c r="A7" s="208"/>
      <c r="C7" s="102" t="s">
        <v>243</v>
      </c>
      <c r="D7" s="82">
        <f>647*1000</f>
        <v>647000</v>
      </c>
      <c r="E7" s="119" t="s">
        <v>284</v>
      </c>
      <c r="F7" s="344"/>
      <c r="G7" s="147">
        <v>0</v>
      </c>
      <c r="H7" s="147">
        <v>0</v>
      </c>
      <c r="I7" s="147">
        <v>0</v>
      </c>
      <c r="J7" s="147">
        <v>0</v>
      </c>
      <c r="K7" s="147">
        <v>0</v>
      </c>
      <c r="L7" s="147">
        <v>0</v>
      </c>
      <c r="M7" s="214" t="s">
        <v>278</v>
      </c>
      <c r="O7" s="209"/>
      <c r="P7" s="209"/>
      <c r="Q7" s="209"/>
      <c r="R7" s="209"/>
    </row>
    <row r="8" spans="1:18" x14ac:dyDescent="0.25">
      <c r="A8" s="208"/>
      <c r="C8" s="102" t="s">
        <v>33</v>
      </c>
      <c r="D8" s="82">
        <v>3</v>
      </c>
      <c r="E8" s="119" t="s">
        <v>273</v>
      </c>
      <c r="F8" s="344"/>
      <c r="G8" s="147">
        <v>0</v>
      </c>
      <c r="H8" s="147">
        <v>0</v>
      </c>
      <c r="I8" s="147">
        <v>0</v>
      </c>
      <c r="J8" s="147">
        <v>0</v>
      </c>
      <c r="K8" s="147">
        <v>0</v>
      </c>
      <c r="L8" s="147">
        <v>0</v>
      </c>
      <c r="M8" s="214" t="s">
        <v>279</v>
      </c>
      <c r="O8" s="209"/>
      <c r="P8" s="209"/>
      <c r="Q8" s="209"/>
      <c r="R8" s="209"/>
    </row>
    <row r="9" spans="1:18" x14ac:dyDescent="0.25">
      <c r="A9" s="208"/>
      <c r="C9" s="102" t="s">
        <v>34</v>
      </c>
      <c r="D9" s="82">
        <v>0.01</v>
      </c>
      <c r="E9" s="119" t="s">
        <v>275</v>
      </c>
      <c r="F9" s="344"/>
      <c r="G9" s="147">
        <v>0</v>
      </c>
      <c r="H9" s="147">
        <v>0</v>
      </c>
      <c r="I9" s="147">
        <v>0</v>
      </c>
      <c r="J9" s="147">
        <v>0</v>
      </c>
      <c r="K9" s="147">
        <v>0</v>
      </c>
      <c r="L9" s="147">
        <v>0</v>
      </c>
      <c r="M9" s="214" t="s">
        <v>280</v>
      </c>
      <c r="O9" s="209"/>
      <c r="P9" s="209"/>
      <c r="Q9" s="209"/>
      <c r="R9" s="209"/>
    </row>
    <row r="10" spans="1:18" x14ac:dyDescent="0.25">
      <c r="A10" s="208"/>
      <c r="C10" s="102" t="s">
        <v>288</v>
      </c>
      <c r="D10" s="83">
        <f>D6/(D8*D9)</f>
        <v>578200</v>
      </c>
      <c r="E10" s="119" t="s">
        <v>274</v>
      </c>
      <c r="F10" s="344"/>
      <c r="G10" s="147">
        <v>0</v>
      </c>
      <c r="H10" s="147">
        <v>0</v>
      </c>
      <c r="I10" s="147">
        <v>0</v>
      </c>
      <c r="J10" s="147">
        <v>0</v>
      </c>
      <c r="K10" s="147">
        <v>0</v>
      </c>
      <c r="L10" s="147">
        <v>0</v>
      </c>
      <c r="M10" s="214" t="s">
        <v>281</v>
      </c>
      <c r="O10" s="209"/>
      <c r="P10" s="209"/>
      <c r="Q10" s="209"/>
      <c r="R10" s="209"/>
    </row>
    <row r="11" spans="1:18" x14ac:dyDescent="0.25">
      <c r="A11" s="208"/>
      <c r="C11" s="102" t="s">
        <v>35</v>
      </c>
      <c r="D11" s="82">
        <v>25</v>
      </c>
      <c r="O11" s="209"/>
      <c r="P11" s="209"/>
      <c r="Q11" s="209"/>
      <c r="R11" s="209"/>
    </row>
    <row r="12" spans="1:18" x14ac:dyDescent="0.25">
      <c r="A12" s="208"/>
      <c r="C12" s="102" t="s">
        <v>379</v>
      </c>
      <c r="D12" s="101">
        <f>D7*D11^2/4</f>
        <v>101093750</v>
      </c>
      <c r="O12" s="209"/>
      <c r="P12" s="209"/>
      <c r="Q12" s="209"/>
      <c r="R12" s="209"/>
    </row>
    <row r="13" spans="1:18" x14ac:dyDescent="0.25">
      <c r="A13" s="208"/>
      <c r="C13" s="102" t="s">
        <v>289</v>
      </c>
      <c r="D13" s="101">
        <f>D7*D11^2/12</f>
        <v>33697916.666666664</v>
      </c>
      <c r="O13" s="209"/>
      <c r="P13" s="209"/>
      <c r="Q13" s="209"/>
      <c r="R13" s="209"/>
    </row>
    <row r="14" spans="1:18" x14ac:dyDescent="0.25">
      <c r="A14" s="208"/>
      <c r="C14" s="102" t="s">
        <v>290</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267</v>
      </c>
      <c r="D16" s="82"/>
      <c r="O16" s="209"/>
      <c r="P16" s="209"/>
      <c r="Q16" s="209"/>
      <c r="R16" s="209"/>
    </row>
    <row r="17" spans="1:19" x14ac:dyDescent="0.25">
      <c r="A17" s="208"/>
      <c r="C17" s="116" t="s">
        <v>269</v>
      </c>
      <c r="D17" s="82">
        <v>18</v>
      </c>
      <c r="O17" s="209"/>
      <c r="P17" s="209"/>
      <c r="Q17" s="209"/>
      <c r="R17" s="209"/>
    </row>
    <row r="18" spans="1:19" x14ac:dyDescent="0.25">
      <c r="A18" s="208"/>
      <c r="C18" s="116" t="s">
        <v>234</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268</v>
      </c>
      <c r="D20" s="98">
        <f>PI()*D17^2/4*D19/D18</f>
        <v>20357.520395261861</v>
      </c>
      <c r="O20" s="209"/>
      <c r="P20" s="209"/>
      <c r="Q20" s="209"/>
      <c r="R20" s="209"/>
    </row>
    <row r="21" spans="1:19" ht="16.5" thickBot="1" x14ac:dyDescent="0.3">
      <c r="A21" s="208"/>
      <c r="C21" s="102" t="s">
        <v>320</v>
      </c>
      <c r="D21" s="82">
        <v>3</v>
      </c>
      <c r="O21" s="209"/>
      <c r="P21" s="209"/>
      <c r="Q21" s="209"/>
      <c r="R21" s="209"/>
    </row>
    <row r="22" spans="1:19" ht="16.5" thickBot="1" x14ac:dyDescent="0.3">
      <c r="A22" s="381" t="s">
        <v>373</v>
      </c>
      <c r="B22" s="382"/>
      <c r="C22" s="382"/>
      <c r="D22" s="382"/>
      <c r="E22" s="382"/>
      <c r="F22" s="382"/>
      <c r="G22" s="382"/>
      <c r="H22" s="382"/>
      <c r="I22" s="382"/>
      <c r="J22" s="382"/>
      <c r="K22" s="382"/>
      <c r="L22" s="382"/>
      <c r="M22" s="383"/>
      <c r="O22" s="209"/>
      <c r="P22" s="209"/>
      <c r="Q22" s="209"/>
      <c r="R22" s="209"/>
    </row>
    <row r="23" spans="1:19" ht="31.5" x14ac:dyDescent="0.25">
      <c r="A23" s="272" t="s">
        <v>374</v>
      </c>
      <c r="B23" s="107"/>
      <c r="C23" s="216" t="s">
        <v>265</v>
      </c>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65" t="s">
        <v>129</v>
      </c>
      <c r="I29" s="365"/>
      <c r="J29" s="365"/>
      <c r="K29" s="365"/>
      <c r="L29" s="365"/>
      <c r="M29" s="365"/>
      <c r="N29" s="365"/>
      <c r="O29" s="365"/>
      <c r="P29" s="365"/>
      <c r="Q29" s="365"/>
      <c r="R29" s="365"/>
      <c r="S29" s="365"/>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66" t="s">
        <v>190</v>
      </c>
      <c r="B32" s="366"/>
      <c r="C32" s="366"/>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66"/>
      <c r="B33" s="366"/>
      <c r="C33" s="366"/>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66"/>
      <c r="B34" s="366"/>
      <c r="C34" s="366"/>
      <c r="G34" s="82" t="s">
        <v>130</v>
      </c>
      <c r="H34" s="367"/>
      <c r="I34" s="367"/>
      <c r="J34" s="367"/>
      <c r="K34" s="367"/>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67"/>
      <c r="I38" s="367"/>
      <c r="J38" s="367"/>
      <c r="K38" s="367"/>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44"/>
      <c r="I64" s="222"/>
      <c r="J64" s="222"/>
      <c r="K64" s="222"/>
      <c r="L64" s="222"/>
      <c r="M64" s="222"/>
      <c r="N64" s="222"/>
      <c r="O64" s="118"/>
    </row>
    <row r="65" spans="1:15" x14ac:dyDescent="0.25">
      <c r="G65" s="119"/>
      <c r="H65" s="344"/>
      <c r="I65" s="222"/>
      <c r="J65" s="222"/>
      <c r="K65" s="222"/>
      <c r="L65" s="222"/>
      <c r="M65" s="222"/>
      <c r="N65" s="222"/>
      <c r="O65" s="118"/>
    </row>
    <row r="66" spans="1:15" x14ac:dyDescent="0.25">
      <c r="G66" s="119"/>
      <c r="H66" s="344"/>
      <c r="I66" s="222"/>
      <c r="J66" s="222"/>
      <c r="K66" s="222"/>
      <c r="L66" s="222"/>
      <c r="M66" s="222"/>
      <c r="N66" s="222"/>
      <c r="O66" s="118"/>
    </row>
    <row r="67" spans="1:15" x14ac:dyDescent="0.25">
      <c r="G67" s="119"/>
      <c r="H67" s="344"/>
      <c r="I67" s="222"/>
      <c r="J67" s="222"/>
      <c r="K67" s="222"/>
      <c r="L67" s="222"/>
      <c r="M67" s="222"/>
      <c r="N67" s="222"/>
      <c r="O67" s="118"/>
    </row>
    <row r="68" spans="1:15" x14ac:dyDescent="0.25">
      <c r="G68" s="119"/>
      <c r="H68" s="344"/>
      <c r="I68" s="222"/>
      <c r="J68" s="222"/>
      <c r="K68" s="222"/>
      <c r="L68" s="222"/>
      <c r="M68" s="222"/>
      <c r="N68" s="222"/>
      <c r="O68" s="118"/>
    </row>
    <row r="69" spans="1:15" x14ac:dyDescent="0.25">
      <c r="G69" s="119"/>
      <c r="H69" s="344"/>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G78" s="119"/>
      <c r="H78" s="195"/>
      <c r="I78" s="222"/>
      <c r="J78" s="222"/>
      <c r="K78" s="222"/>
      <c r="L78" s="222"/>
      <c r="M78" s="222"/>
      <c r="N78" s="222"/>
      <c r="O78" s="118"/>
    </row>
    <row r="79" spans="1:15" x14ac:dyDescent="0.25">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257</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259</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257</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263</v>
      </c>
    </row>
    <row r="104" spans="1:19" x14ac:dyDescent="0.25">
      <c r="A104" s="102"/>
      <c r="B104" s="209"/>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257</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308</v>
      </c>
      <c r="H108" s="223"/>
      <c r="I108" s="223"/>
      <c r="J108" s="223"/>
      <c r="K108" s="223"/>
      <c r="L108" s="223"/>
      <c r="M108" s="223"/>
      <c r="N108" s="223"/>
      <c r="O108" s="223"/>
      <c r="P108" s="223"/>
    </row>
    <row r="109" spans="1:19" x14ac:dyDescent="0.25">
      <c r="A109" s="102"/>
      <c r="B109" s="209"/>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7.875" style="81" customWidth="1"/>
    <col min="3" max="3" width="32.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Loads'!A276</f>
        <v>CS 9</v>
      </c>
      <c r="B1" s="205" t="str">
        <f>'CSs and Loads'!A286</f>
        <v>Thing 9</v>
      </c>
    </row>
    <row r="2" spans="1:18" ht="16.5" thickBot="1" x14ac:dyDescent="0.3">
      <c r="A2" s="82" t="s">
        <v>132</v>
      </c>
      <c r="E2" s="176"/>
      <c r="F2" s="176"/>
      <c r="G2" s="176"/>
      <c r="H2" s="176"/>
      <c r="I2" s="242"/>
      <c r="J2" s="176"/>
      <c r="K2" s="176"/>
      <c r="L2" s="243"/>
      <c r="M2" s="243"/>
      <c r="N2" s="207"/>
    </row>
    <row r="3" spans="1:18" x14ac:dyDescent="0.25">
      <c r="A3" s="208" t="s">
        <v>111</v>
      </c>
      <c r="D3" s="241"/>
      <c r="E3" s="345" t="s">
        <v>372</v>
      </c>
      <c r="F3" s="346"/>
      <c r="G3" s="346"/>
      <c r="H3" s="346"/>
      <c r="I3" s="346"/>
      <c r="J3" s="346"/>
      <c r="K3" s="346"/>
      <c r="L3" s="346"/>
      <c r="M3" s="347"/>
      <c r="N3" s="181"/>
      <c r="O3" s="209"/>
      <c r="P3" s="209"/>
      <c r="Q3" s="209"/>
      <c r="R3" s="209"/>
    </row>
    <row r="4" spans="1:18" x14ac:dyDescent="0.25">
      <c r="A4" s="208"/>
      <c r="C4" s="82" t="s">
        <v>369</v>
      </c>
      <c r="D4" s="169"/>
      <c r="E4" s="378" t="s">
        <v>371</v>
      </c>
      <c r="F4" s="379"/>
      <c r="G4" s="379"/>
      <c r="H4" s="379"/>
      <c r="I4" s="379"/>
      <c r="J4" s="379"/>
      <c r="K4" s="379"/>
      <c r="L4" s="379"/>
      <c r="M4" s="380"/>
      <c r="N4" s="181"/>
      <c r="O4" s="209"/>
      <c r="P4" s="209"/>
      <c r="Q4" s="209"/>
      <c r="R4" s="209"/>
    </row>
    <row r="5" spans="1:18" x14ac:dyDescent="0.25">
      <c r="A5" s="208"/>
      <c r="C5" s="102" t="s">
        <v>367</v>
      </c>
      <c r="D5" s="169">
        <v>25</v>
      </c>
      <c r="E5" s="182" t="s">
        <v>282</v>
      </c>
      <c r="F5" s="344" t="s">
        <v>285</v>
      </c>
      <c r="G5" s="147">
        <v>0</v>
      </c>
      <c r="H5" s="147">
        <v>0</v>
      </c>
      <c r="I5" s="147">
        <v>0</v>
      </c>
      <c r="J5" s="147">
        <v>0</v>
      </c>
      <c r="K5" s="147">
        <v>0</v>
      </c>
      <c r="L5" s="147">
        <v>0</v>
      </c>
      <c r="M5" s="183" t="s">
        <v>276</v>
      </c>
      <c r="N5" s="181"/>
      <c r="O5" s="209"/>
      <c r="P5" s="209"/>
      <c r="Q5" s="209"/>
      <c r="R5" s="209"/>
    </row>
    <row r="6" spans="1:18" x14ac:dyDescent="0.25">
      <c r="A6" s="208"/>
      <c r="C6" s="102" t="s">
        <v>32</v>
      </c>
      <c r="D6" s="169">
        <f>1770*9.8</f>
        <v>17346</v>
      </c>
      <c r="E6" s="182" t="s">
        <v>283</v>
      </c>
      <c r="F6" s="344"/>
      <c r="G6" s="147">
        <v>0</v>
      </c>
      <c r="H6" s="147">
        <v>0</v>
      </c>
      <c r="I6" s="147">
        <v>0</v>
      </c>
      <c r="J6" s="147">
        <v>0</v>
      </c>
      <c r="K6" s="147">
        <v>0</v>
      </c>
      <c r="L6" s="147">
        <v>0</v>
      </c>
      <c r="M6" s="183" t="s">
        <v>277</v>
      </c>
      <c r="N6" s="181"/>
      <c r="O6" s="209"/>
      <c r="P6" s="209"/>
      <c r="Q6" s="209"/>
      <c r="R6" s="209"/>
    </row>
    <row r="7" spans="1:18" x14ac:dyDescent="0.25">
      <c r="A7" s="208"/>
      <c r="C7" s="102" t="s">
        <v>243</v>
      </c>
      <c r="D7" s="169">
        <f>647*1000</f>
        <v>647000</v>
      </c>
      <c r="E7" s="182" t="s">
        <v>284</v>
      </c>
      <c r="F7" s="344"/>
      <c r="G7" s="147">
        <v>0</v>
      </c>
      <c r="H7" s="147">
        <v>0</v>
      </c>
      <c r="I7" s="147">
        <v>0</v>
      </c>
      <c r="J7" s="147">
        <v>0</v>
      </c>
      <c r="K7" s="147">
        <v>0</v>
      </c>
      <c r="L7" s="147">
        <v>0</v>
      </c>
      <c r="M7" s="183" t="s">
        <v>278</v>
      </c>
      <c r="N7" s="181"/>
      <c r="O7" s="209"/>
      <c r="P7" s="209"/>
      <c r="Q7" s="209"/>
      <c r="R7" s="209"/>
    </row>
    <row r="8" spans="1:18" x14ac:dyDescent="0.25">
      <c r="A8" s="208"/>
      <c r="C8" s="102" t="s">
        <v>33</v>
      </c>
      <c r="D8" s="169">
        <v>3</v>
      </c>
      <c r="E8" s="182" t="s">
        <v>273</v>
      </c>
      <c r="F8" s="344"/>
      <c r="G8" s="147">
        <v>0</v>
      </c>
      <c r="H8" s="147">
        <v>0</v>
      </c>
      <c r="I8" s="147">
        <v>0</v>
      </c>
      <c r="J8" s="147">
        <v>0</v>
      </c>
      <c r="K8" s="147">
        <v>0</v>
      </c>
      <c r="L8" s="147">
        <v>0</v>
      </c>
      <c r="M8" s="183" t="s">
        <v>279</v>
      </c>
      <c r="N8" s="181"/>
      <c r="O8" s="209"/>
      <c r="P8" s="209"/>
      <c r="Q8" s="209"/>
      <c r="R8" s="209"/>
    </row>
    <row r="9" spans="1:18" x14ac:dyDescent="0.25">
      <c r="A9" s="208"/>
      <c r="C9" s="102" t="s">
        <v>34</v>
      </c>
      <c r="D9" s="169">
        <v>0.01</v>
      </c>
      <c r="E9" s="182" t="s">
        <v>275</v>
      </c>
      <c r="F9" s="344"/>
      <c r="G9" s="147">
        <v>0</v>
      </c>
      <c r="H9" s="147">
        <v>0</v>
      </c>
      <c r="I9" s="147">
        <v>0</v>
      </c>
      <c r="J9" s="147">
        <v>0</v>
      </c>
      <c r="K9" s="147">
        <v>0</v>
      </c>
      <c r="L9" s="147">
        <v>0</v>
      </c>
      <c r="M9" s="183" t="s">
        <v>280</v>
      </c>
      <c r="N9" s="181"/>
      <c r="O9" s="209"/>
      <c r="P9" s="209"/>
      <c r="Q9" s="209"/>
      <c r="R9" s="209"/>
    </row>
    <row r="10" spans="1:18" ht="16.5" thickBot="1" x14ac:dyDescent="0.3">
      <c r="A10" s="208"/>
      <c r="C10" s="102" t="s">
        <v>288</v>
      </c>
      <c r="D10" s="237">
        <f>D6/(D8*D9)</f>
        <v>578200</v>
      </c>
      <c r="E10" s="184" t="s">
        <v>274</v>
      </c>
      <c r="F10" s="377"/>
      <c r="G10" s="188">
        <v>0</v>
      </c>
      <c r="H10" s="188">
        <v>0</v>
      </c>
      <c r="I10" s="188">
        <v>0</v>
      </c>
      <c r="J10" s="188">
        <v>0</v>
      </c>
      <c r="K10" s="188">
        <v>0</v>
      </c>
      <c r="L10" s="188">
        <v>0</v>
      </c>
      <c r="M10" s="187" t="s">
        <v>281</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289</v>
      </c>
      <c r="D13" s="101">
        <f>D7*D11^2/12</f>
        <v>33697916.666666664</v>
      </c>
      <c r="O13" s="209"/>
      <c r="P13" s="209"/>
      <c r="Q13" s="209"/>
      <c r="R13" s="209"/>
    </row>
    <row r="14" spans="1:18" x14ac:dyDescent="0.25">
      <c r="A14" s="208"/>
      <c r="C14" s="102" t="s">
        <v>290</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267</v>
      </c>
      <c r="D16" s="82"/>
      <c r="O16" s="209"/>
      <c r="P16" s="209"/>
      <c r="Q16" s="209"/>
      <c r="R16" s="209"/>
    </row>
    <row r="17" spans="1:19" x14ac:dyDescent="0.25">
      <c r="A17" s="208"/>
      <c r="C17" s="116" t="s">
        <v>269</v>
      </c>
      <c r="D17" s="82">
        <v>18</v>
      </c>
      <c r="O17" s="209"/>
      <c r="P17" s="209"/>
      <c r="Q17" s="209"/>
      <c r="R17" s="209"/>
    </row>
    <row r="18" spans="1:19" x14ac:dyDescent="0.25">
      <c r="A18" s="208"/>
      <c r="C18" s="116" t="s">
        <v>234</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268</v>
      </c>
      <c r="D20" s="98">
        <f>PI()*D17^2/4*D19/D18</f>
        <v>20357.520395261861</v>
      </c>
      <c r="O20" s="209"/>
      <c r="P20" s="209"/>
      <c r="Q20" s="209"/>
      <c r="R20" s="209"/>
    </row>
    <row r="21" spans="1:19" ht="16.5" thickBot="1" x14ac:dyDescent="0.3">
      <c r="A21" s="238"/>
      <c r="B21" s="176"/>
      <c r="C21" s="239" t="s">
        <v>320</v>
      </c>
      <c r="D21" s="229">
        <v>3</v>
      </c>
      <c r="E21" s="176"/>
      <c r="F21" s="176"/>
      <c r="G21" s="176"/>
      <c r="H21" s="176"/>
      <c r="I21" s="176"/>
      <c r="J21" s="176"/>
      <c r="K21" s="176"/>
      <c r="L21" s="176"/>
      <c r="M21" s="176"/>
      <c r="O21" s="209"/>
      <c r="P21" s="209"/>
      <c r="Q21" s="209"/>
      <c r="R21" s="209"/>
    </row>
    <row r="22" spans="1:19" ht="16.5" thickBot="1" x14ac:dyDescent="0.3">
      <c r="A22" s="381" t="s">
        <v>373</v>
      </c>
      <c r="B22" s="382"/>
      <c r="C22" s="382"/>
      <c r="D22" s="382"/>
      <c r="E22" s="382"/>
      <c r="F22" s="382"/>
      <c r="G22" s="382"/>
      <c r="H22" s="382"/>
      <c r="I22" s="382"/>
      <c r="J22" s="382"/>
      <c r="K22" s="382"/>
      <c r="L22" s="382"/>
      <c r="M22" s="383"/>
      <c r="N22" s="181"/>
      <c r="O22" s="209"/>
      <c r="P22" s="209"/>
      <c r="Q22" s="20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65" t="s">
        <v>129</v>
      </c>
      <c r="I29" s="365"/>
      <c r="J29" s="365"/>
      <c r="K29" s="365"/>
      <c r="L29" s="365"/>
      <c r="M29" s="365"/>
      <c r="N29" s="365"/>
      <c r="O29" s="365"/>
      <c r="P29" s="365"/>
      <c r="Q29" s="365"/>
      <c r="R29" s="365"/>
      <c r="S29" s="365"/>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66" t="s">
        <v>190</v>
      </c>
      <c r="B32" s="366"/>
      <c r="C32" s="366"/>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66"/>
      <c r="B33" s="366"/>
      <c r="C33" s="366"/>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66"/>
      <c r="B34" s="366"/>
      <c r="C34" s="366"/>
      <c r="G34" s="82" t="s">
        <v>130</v>
      </c>
      <c r="H34" s="367"/>
      <c r="I34" s="367"/>
      <c r="J34" s="367"/>
      <c r="K34" s="367"/>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67"/>
      <c r="I38" s="367"/>
      <c r="J38" s="367"/>
      <c r="K38" s="367"/>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44"/>
      <c r="I64" s="222"/>
      <c r="J64" s="222"/>
      <c r="K64" s="222"/>
      <c r="L64" s="222"/>
      <c r="M64" s="222"/>
      <c r="N64" s="222"/>
      <c r="O64" s="118"/>
    </row>
    <row r="65" spans="1:15" x14ac:dyDescent="0.25">
      <c r="G65" s="119"/>
      <c r="H65" s="344"/>
      <c r="I65" s="222"/>
      <c r="J65" s="222"/>
      <c r="K65" s="222"/>
      <c r="L65" s="222"/>
      <c r="M65" s="222"/>
      <c r="N65" s="222"/>
      <c r="O65" s="118"/>
    </row>
    <row r="66" spans="1:15" x14ac:dyDescent="0.25">
      <c r="G66" s="119"/>
      <c r="H66" s="344"/>
      <c r="I66" s="222"/>
      <c r="J66" s="222"/>
      <c r="K66" s="222"/>
      <c r="L66" s="222"/>
      <c r="M66" s="222"/>
      <c r="N66" s="222"/>
      <c r="O66" s="118"/>
    </row>
    <row r="67" spans="1:15" x14ac:dyDescent="0.25">
      <c r="G67" s="119"/>
      <c r="H67" s="344"/>
      <c r="I67" s="222"/>
      <c r="J67" s="222"/>
      <c r="K67" s="222"/>
      <c r="L67" s="222"/>
      <c r="M67" s="222"/>
      <c r="N67" s="222"/>
      <c r="O67" s="118"/>
    </row>
    <row r="68" spans="1:15" x14ac:dyDescent="0.25">
      <c r="G68" s="119"/>
      <c r="H68" s="344"/>
      <c r="I68" s="222"/>
      <c r="J68" s="222"/>
      <c r="K68" s="222"/>
      <c r="L68" s="222"/>
      <c r="M68" s="222"/>
      <c r="N68" s="222"/>
      <c r="O68" s="118"/>
    </row>
    <row r="69" spans="1:15" x14ac:dyDescent="0.25">
      <c r="G69" s="119"/>
      <c r="H69" s="344"/>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G78" s="119"/>
      <c r="H78" s="195"/>
      <c r="I78" s="222"/>
      <c r="J78" s="222"/>
      <c r="K78" s="222"/>
      <c r="L78" s="222"/>
      <c r="M78" s="222"/>
      <c r="N78" s="222"/>
      <c r="O78" s="118"/>
    </row>
    <row r="79" spans="1:15" x14ac:dyDescent="0.25">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257</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259</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257</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263</v>
      </c>
    </row>
    <row r="104" spans="1:19" x14ac:dyDescent="0.25">
      <c r="A104" s="102"/>
      <c r="B104" s="209"/>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257</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308</v>
      </c>
      <c r="H108" s="223"/>
      <c r="I108" s="223"/>
      <c r="J108" s="223"/>
      <c r="K108" s="223"/>
      <c r="L108" s="223"/>
      <c r="M108" s="223"/>
      <c r="N108" s="223"/>
      <c r="O108" s="223"/>
      <c r="P108" s="223"/>
    </row>
    <row r="109" spans="1:19" x14ac:dyDescent="0.25">
      <c r="A109" s="102"/>
      <c r="B109" s="209"/>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G15" sqref="G15"/>
    </sheetView>
  </sheetViews>
  <sheetFormatPr defaultColWidth="11" defaultRowHeight="15.75" x14ac:dyDescent="0.25"/>
  <cols>
    <col min="1" max="1" width="45.375" style="81" customWidth="1"/>
    <col min="2" max="2" width="21.5" style="81" customWidth="1"/>
    <col min="3" max="3" width="40.12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Loads'!A309</f>
        <v>CS 10</v>
      </c>
      <c r="B1" s="205" t="str">
        <f>'CSs and Loads'!A319</f>
        <v>Thing 10</v>
      </c>
    </row>
    <row r="2" spans="1:18" ht="16.5" thickBot="1" x14ac:dyDescent="0.3">
      <c r="A2" s="82" t="s">
        <v>132</v>
      </c>
      <c r="E2" s="176"/>
      <c r="F2" s="176"/>
      <c r="G2" s="176"/>
      <c r="H2" s="176"/>
      <c r="I2" s="242"/>
      <c r="J2" s="176"/>
      <c r="K2" s="176"/>
      <c r="L2" s="243"/>
      <c r="M2" s="243"/>
      <c r="N2" s="207"/>
    </row>
    <row r="3" spans="1:18" x14ac:dyDescent="0.25">
      <c r="A3" s="208" t="s">
        <v>111</v>
      </c>
      <c r="D3" s="241"/>
      <c r="E3" s="345" t="s">
        <v>372</v>
      </c>
      <c r="F3" s="346"/>
      <c r="G3" s="346"/>
      <c r="H3" s="346"/>
      <c r="I3" s="346"/>
      <c r="J3" s="346"/>
      <c r="K3" s="346"/>
      <c r="L3" s="346"/>
      <c r="M3" s="347"/>
      <c r="N3" s="181"/>
      <c r="O3" s="209"/>
      <c r="P3" s="209"/>
      <c r="Q3" s="209"/>
      <c r="R3" s="209"/>
    </row>
    <row r="4" spans="1:18" x14ac:dyDescent="0.25">
      <c r="A4" s="208"/>
      <c r="C4" s="82" t="s">
        <v>369</v>
      </c>
      <c r="D4" s="169"/>
      <c r="E4" s="378" t="s">
        <v>371</v>
      </c>
      <c r="F4" s="379"/>
      <c r="G4" s="379"/>
      <c r="H4" s="379"/>
      <c r="I4" s="379"/>
      <c r="J4" s="379"/>
      <c r="K4" s="379"/>
      <c r="L4" s="379"/>
      <c r="M4" s="380"/>
      <c r="N4" s="181"/>
      <c r="O4" s="209"/>
      <c r="P4" s="209"/>
      <c r="Q4" s="209"/>
      <c r="R4" s="209"/>
    </row>
    <row r="5" spans="1:18" x14ac:dyDescent="0.25">
      <c r="A5" s="208"/>
      <c r="C5" s="102" t="s">
        <v>367</v>
      </c>
      <c r="D5" s="169">
        <v>25</v>
      </c>
      <c r="E5" s="182" t="s">
        <v>282</v>
      </c>
      <c r="F5" s="344" t="s">
        <v>285</v>
      </c>
      <c r="G5" s="147">
        <v>0</v>
      </c>
      <c r="H5" s="147">
        <v>0</v>
      </c>
      <c r="I5" s="147">
        <v>0</v>
      </c>
      <c r="J5" s="147">
        <v>0</v>
      </c>
      <c r="K5" s="147">
        <v>0</v>
      </c>
      <c r="L5" s="147">
        <v>0</v>
      </c>
      <c r="M5" s="183" t="s">
        <v>276</v>
      </c>
      <c r="N5" s="181"/>
      <c r="O5" s="209"/>
      <c r="P5" s="209"/>
      <c r="Q5" s="209"/>
      <c r="R5" s="209"/>
    </row>
    <row r="6" spans="1:18" x14ac:dyDescent="0.25">
      <c r="A6" s="208"/>
      <c r="C6" s="102" t="s">
        <v>32</v>
      </c>
      <c r="D6" s="169">
        <f>1770*9.8</f>
        <v>17346</v>
      </c>
      <c r="E6" s="182" t="s">
        <v>283</v>
      </c>
      <c r="F6" s="344"/>
      <c r="G6" s="147">
        <v>0</v>
      </c>
      <c r="H6" s="147">
        <v>0</v>
      </c>
      <c r="I6" s="147">
        <v>0</v>
      </c>
      <c r="J6" s="147">
        <v>0</v>
      </c>
      <c r="K6" s="147">
        <v>0</v>
      </c>
      <c r="L6" s="147">
        <v>0</v>
      </c>
      <c r="M6" s="183" t="s">
        <v>277</v>
      </c>
      <c r="N6" s="181"/>
      <c r="O6" s="209"/>
      <c r="P6" s="209"/>
      <c r="Q6" s="209"/>
      <c r="R6" s="209"/>
    </row>
    <row r="7" spans="1:18" x14ac:dyDescent="0.25">
      <c r="A7" s="208"/>
      <c r="C7" s="102" t="s">
        <v>243</v>
      </c>
      <c r="D7" s="169">
        <f>647*1000</f>
        <v>647000</v>
      </c>
      <c r="E7" s="182" t="s">
        <v>284</v>
      </c>
      <c r="F7" s="344"/>
      <c r="G7" s="147">
        <v>0</v>
      </c>
      <c r="H7" s="147">
        <v>0</v>
      </c>
      <c r="I7" s="147">
        <v>0</v>
      </c>
      <c r="J7" s="147">
        <v>0</v>
      </c>
      <c r="K7" s="147">
        <v>0</v>
      </c>
      <c r="L7" s="147">
        <v>0</v>
      </c>
      <c r="M7" s="183" t="s">
        <v>278</v>
      </c>
      <c r="N7" s="181"/>
      <c r="O7" s="209"/>
      <c r="P7" s="209"/>
      <c r="Q7" s="209"/>
      <c r="R7" s="209"/>
    </row>
    <row r="8" spans="1:18" x14ac:dyDescent="0.25">
      <c r="A8" s="208"/>
      <c r="C8" s="102" t="s">
        <v>33</v>
      </c>
      <c r="D8" s="169">
        <v>3</v>
      </c>
      <c r="E8" s="182" t="s">
        <v>273</v>
      </c>
      <c r="F8" s="344"/>
      <c r="G8" s="147">
        <v>0</v>
      </c>
      <c r="H8" s="147">
        <v>0</v>
      </c>
      <c r="I8" s="147">
        <v>0</v>
      </c>
      <c r="J8" s="147">
        <v>0</v>
      </c>
      <c r="K8" s="147">
        <v>0</v>
      </c>
      <c r="L8" s="147">
        <v>0</v>
      </c>
      <c r="M8" s="183" t="s">
        <v>279</v>
      </c>
      <c r="N8" s="181"/>
      <c r="O8" s="209"/>
      <c r="P8" s="209"/>
      <c r="Q8" s="209"/>
      <c r="R8" s="209"/>
    </row>
    <row r="9" spans="1:18" x14ac:dyDescent="0.25">
      <c r="A9" s="208"/>
      <c r="C9" s="102" t="s">
        <v>34</v>
      </c>
      <c r="D9" s="169">
        <v>0.01</v>
      </c>
      <c r="E9" s="182" t="s">
        <v>275</v>
      </c>
      <c r="F9" s="344"/>
      <c r="G9" s="147">
        <v>0</v>
      </c>
      <c r="H9" s="147">
        <v>0</v>
      </c>
      <c r="I9" s="147">
        <v>0</v>
      </c>
      <c r="J9" s="147">
        <v>0</v>
      </c>
      <c r="K9" s="147">
        <v>0</v>
      </c>
      <c r="L9" s="147">
        <v>0</v>
      </c>
      <c r="M9" s="183" t="s">
        <v>280</v>
      </c>
      <c r="N9" s="181"/>
      <c r="O9" s="209"/>
      <c r="P9" s="209"/>
      <c r="Q9" s="209"/>
      <c r="R9" s="209"/>
    </row>
    <row r="10" spans="1:18" ht="16.5" thickBot="1" x14ac:dyDescent="0.3">
      <c r="A10" s="208"/>
      <c r="C10" s="102" t="s">
        <v>288</v>
      </c>
      <c r="D10" s="237">
        <f>D6/(D8*D9)</f>
        <v>578200</v>
      </c>
      <c r="E10" s="184" t="s">
        <v>274</v>
      </c>
      <c r="F10" s="377"/>
      <c r="G10" s="188">
        <v>0</v>
      </c>
      <c r="H10" s="188">
        <v>0</v>
      </c>
      <c r="I10" s="188">
        <v>0</v>
      </c>
      <c r="J10" s="188">
        <v>0</v>
      </c>
      <c r="K10" s="188">
        <v>0</v>
      </c>
      <c r="L10" s="188">
        <v>0</v>
      </c>
      <c r="M10" s="187" t="s">
        <v>281</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289</v>
      </c>
      <c r="D13" s="101">
        <f>D7*D11^2/12</f>
        <v>33697916.666666664</v>
      </c>
      <c r="O13" s="209"/>
      <c r="P13" s="209"/>
      <c r="Q13" s="209"/>
      <c r="R13" s="209"/>
    </row>
    <row r="14" spans="1:18" x14ac:dyDescent="0.25">
      <c r="A14" s="208"/>
      <c r="C14" s="102" t="s">
        <v>290</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267</v>
      </c>
      <c r="D16" s="82"/>
      <c r="O16" s="209"/>
      <c r="P16" s="209"/>
      <c r="Q16" s="209"/>
      <c r="R16" s="209"/>
    </row>
    <row r="17" spans="1:19" x14ac:dyDescent="0.25">
      <c r="A17" s="208"/>
      <c r="C17" s="116" t="s">
        <v>269</v>
      </c>
      <c r="D17" s="82">
        <v>18</v>
      </c>
      <c r="O17" s="209"/>
      <c r="P17" s="209"/>
      <c r="Q17" s="209"/>
      <c r="R17" s="209"/>
    </row>
    <row r="18" spans="1:19" x14ac:dyDescent="0.25">
      <c r="A18" s="208"/>
      <c r="C18" s="116" t="s">
        <v>234</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268</v>
      </c>
      <c r="D20" s="98">
        <f>PI()*D17^2/4*D19/D18</f>
        <v>20357.520395261861</v>
      </c>
      <c r="O20" s="209"/>
      <c r="P20" s="209"/>
      <c r="Q20" s="209"/>
      <c r="R20" s="209"/>
    </row>
    <row r="21" spans="1:19" ht="16.5" thickBot="1" x14ac:dyDescent="0.3">
      <c r="A21" s="238"/>
      <c r="B21" s="176"/>
      <c r="C21" s="239" t="s">
        <v>320</v>
      </c>
      <c r="D21" s="229">
        <v>3</v>
      </c>
      <c r="E21" s="176"/>
      <c r="F21" s="176"/>
      <c r="G21" s="176"/>
      <c r="H21" s="176"/>
      <c r="I21" s="176"/>
      <c r="J21" s="176"/>
      <c r="K21" s="176"/>
      <c r="L21" s="176"/>
      <c r="M21" s="176"/>
      <c r="O21" s="209"/>
      <c r="P21" s="209"/>
      <c r="Q21" s="209"/>
      <c r="R21" s="209"/>
    </row>
    <row r="22" spans="1:19" ht="16.5" thickBot="1" x14ac:dyDescent="0.3">
      <c r="A22" s="381" t="s">
        <v>373</v>
      </c>
      <c r="B22" s="382"/>
      <c r="C22" s="382"/>
      <c r="D22" s="382"/>
      <c r="E22" s="382"/>
      <c r="F22" s="382"/>
      <c r="G22" s="382"/>
      <c r="H22" s="382"/>
      <c r="I22" s="382"/>
      <c r="J22" s="382"/>
      <c r="K22" s="382"/>
      <c r="L22" s="382"/>
      <c r="M22" s="383"/>
      <c r="N22" s="181"/>
      <c r="O22" s="209"/>
      <c r="P22" s="209"/>
      <c r="Q22" s="20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65" t="s">
        <v>129</v>
      </c>
      <c r="I29" s="365"/>
      <c r="J29" s="365"/>
      <c r="K29" s="365"/>
      <c r="L29" s="365"/>
      <c r="M29" s="365"/>
      <c r="N29" s="365"/>
      <c r="O29" s="365"/>
      <c r="P29" s="365"/>
      <c r="Q29" s="365"/>
      <c r="R29" s="365"/>
      <c r="S29" s="365"/>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66" t="s">
        <v>190</v>
      </c>
      <c r="B32" s="366"/>
      <c r="C32" s="366"/>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66"/>
      <c r="B33" s="366"/>
      <c r="C33" s="366"/>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66"/>
      <c r="B34" s="366"/>
      <c r="C34" s="366"/>
      <c r="G34" s="82" t="s">
        <v>130</v>
      </c>
      <c r="H34" s="367"/>
      <c r="I34" s="367"/>
      <c r="J34" s="367"/>
      <c r="K34" s="367"/>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67"/>
      <c r="I38" s="367"/>
      <c r="J38" s="367"/>
      <c r="K38" s="367"/>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44"/>
      <c r="I64" s="222"/>
      <c r="J64" s="222"/>
      <c r="K64" s="222"/>
      <c r="L64" s="222"/>
      <c r="M64" s="222"/>
      <c r="N64" s="222"/>
      <c r="O64" s="118"/>
    </row>
    <row r="65" spans="1:15" x14ac:dyDescent="0.25">
      <c r="G65" s="119"/>
      <c r="H65" s="344"/>
      <c r="I65" s="222"/>
      <c r="J65" s="222"/>
      <c r="K65" s="222"/>
      <c r="L65" s="222"/>
      <c r="M65" s="222"/>
      <c r="N65" s="222"/>
      <c r="O65" s="118"/>
    </row>
    <row r="66" spans="1:15" x14ac:dyDescent="0.25">
      <c r="G66" s="119"/>
      <c r="H66" s="344"/>
      <c r="I66" s="222"/>
      <c r="J66" s="222"/>
      <c r="K66" s="222"/>
      <c r="L66" s="222"/>
      <c r="M66" s="222"/>
      <c r="N66" s="222"/>
      <c r="O66" s="118"/>
    </row>
    <row r="67" spans="1:15" x14ac:dyDescent="0.25">
      <c r="G67" s="119"/>
      <c r="H67" s="344"/>
      <c r="I67" s="222"/>
      <c r="J67" s="222"/>
      <c r="K67" s="222"/>
      <c r="L67" s="222"/>
      <c r="M67" s="222"/>
      <c r="N67" s="222"/>
      <c r="O67" s="118"/>
    </row>
    <row r="68" spans="1:15" x14ac:dyDescent="0.25">
      <c r="G68" s="119"/>
      <c r="H68" s="344"/>
      <c r="I68" s="222"/>
      <c r="J68" s="222"/>
      <c r="K68" s="222"/>
      <c r="L68" s="222"/>
      <c r="M68" s="222"/>
      <c r="N68" s="222"/>
      <c r="O68" s="118"/>
    </row>
    <row r="69" spans="1:15" x14ac:dyDescent="0.25">
      <c r="G69" s="119"/>
      <c r="H69" s="344"/>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G78" s="119"/>
      <c r="H78" s="195"/>
      <c r="I78" s="222"/>
      <c r="J78" s="222"/>
      <c r="K78" s="222"/>
      <c r="L78" s="222"/>
      <c r="M78" s="222"/>
      <c r="N78" s="222"/>
      <c r="O78" s="118"/>
    </row>
    <row r="79" spans="1:15" x14ac:dyDescent="0.25">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257</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259</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257</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263</v>
      </c>
    </row>
    <row r="104" spans="1:19" x14ac:dyDescent="0.25">
      <c r="A104" s="102"/>
      <c r="B104" s="209"/>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257</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308</v>
      </c>
      <c r="H108" s="223"/>
      <c r="I108" s="223"/>
      <c r="J108" s="223"/>
      <c r="K108" s="223"/>
      <c r="L108" s="223"/>
      <c r="M108" s="223"/>
      <c r="N108" s="223"/>
      <c r="O108" s="223"/>
      <c r="P108" s="223"/>
    </row>
    <row r="109" spans="1:19" x14ac:dyDescent="0.25">
      <c r="A109" s="102"/>
      <c r="B109" s="209"/>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0"/>
  <sheetViews>
    <sheetView zoomScale="75" zoomScaleNormal="75" zoomScalePageLayoutView="75" workbookViewId="0">
      <selection activeCell="V49" sqref="V49"/>
    </sheetView>
  </sheetViews>
  <sheetFormatPr defaultColWidth="8.875" defaultRowHeight="15.75" x14ac:dyDescent="0.25"/>
  <cols>
    <col min="1" max="1" width="46.5" style="81" customWidth="1"/>
    <col min="2" max="2" width="14.625" style="82" customWidth="1"/>
    <col min="3" max="3" width="9.625" style="82" customWidth="1"/>
    <col min="4" max="4" width="12.625" style="81" customWidth="1"/>
    <col min="5" max="8" width="9.625" style="81" customWidth="1"/>
    <col min="9" max="9" width="9.625" style="149" customWidth="1"/>
    <col min="10" max="10" width="9.625" style="81" customWidth="1"/>
    <col min="11" max="16384" width="8.875" style="81"/>
  </cols>
  <sheetData>
    <row r="1" spans="1:4" x14ac:dyDescent="0.25">
      <c r="A1" s="81" t="s">
        <v>377</v>
      </c>
    </row>
    <row r="2" spans="1:4" x14ac:dyDescent="0.25">
      <c r="A2" s="82" t="s">
        <v>270</v>
      </c>
    </row>
    <row r="3" spans="1:4" x14ac:dyDescent="0.25">
      <c r="A3" s="102" t="s">
        <v>367</v>
      </c>
      <c r="B3" s="82">
        <v>25</v>
      </c>
      <c r="C3" s="82" t="s">
        <v>201</v>
      </c>
    </row>
    <row r="4" spans="1:4" x14ac:dyDescent="0.25">
      <c r="A4" s="102" t="s">
        <v>32</v>
      </c>
      <c r="B4" s="82">
        <f>1770*9.8</f>
        <v>17346</v>
      </c>
      <c r="C4" s="82">
        <v>17400</v>
      </c>
    </row>
    <row r="5" spans="1:4" x14ac:dyDescent="0.25">
      <c r="A5" s="102" t="s">
        <v>243</v>
      </c>
      <c r="B5" s="82">
        <f>647*1000</f>
        <v>647000</v>
      </c>
      <c r="C5" s="82">
        <f>392*1000</f>
        <v>392000</v>
      </c>
    </row>
    <row r="6" spans="1:4" x14ac:dyDescent="0.25">
      <c r="A6" s="102" t="s">
        <v>33</v>
      </c>
      <c r="B6" s="82">
        <v>3</v>
      </c>
      <c r="C6" s="82">
        <v>3</v>
      </c>
    </row>
    <row r="7" spans="1:4" x14ac:dyDescent="0.25">
      <c r="A7" s="102" t="s">
        <v>34</v>
      </c>
      <c r="B7" s="82">
        <v>0.01</v>
      </c>
      <c r="C7" s="82">
        <v>0.01</v>
      </c>
    </row>
    <row r="8" spans="1:4" x14ac:dyDescent="0.25">
      <c r="A8" s="102" t="s">
        <v>288</v>
      </c>
      <c r="B8" s="83">
        <f>C4/(B6*B7)</f>
        <v>580000</v>
      </c>
      <c r="C8" s="83">
        <f>C4/(C6*C7)</f>
        <v>580000</v>
      </c>
    </row>
    <row r="9" spans="1:4" x14ac:dyDescent="0.25">
      <c r="A9" s="102" t="s">
        <v>35</v>
      </c>
      <c r="B9" s="82">
        <v>25</v>
      </c>
    </row>
    <row r="10" spans="1:4" x14ac:dyDescent="0.25">
      <c r="A10" s="102" t="s">
        <v>244</v>
      </c>
      <c r="B10" s="101">
        <f>B5*B9^2/4</f>
        <v>101093750</v>
      </c>
    </row>
    <row r="11" spans="1:4" x14ac:dyDescent="0.25">
      <c r="A11" s="102" t="s">
        <v>289</v>
      </c>
      <c r="B11" s="101">
        <f>B5*B9^2/12</f>
        <v>33697916.666666664</v>
      </c>
    </row>
    <row r="12" spans="1:4" x14ac:dyDescent="0.25">
      <c r="A12" s="102" t="s">
        <v>290</v>
      </c>
      <c r="B12" s="97">
        <f>B11</f>
        <v>33697916.666666664</v>
      </c>
    </row>
    <row r="13" spans="1:4" x14ac:dyDescent="0.25">
      <c r="A13" s="114" t="s">
        <v>266</v>
      </c>
    </row>
    <row r="14" spans="1:4" x14ac:dyDescent="0.25">
      <c r="A14" s="115" t="s">
        <v>267</v>
      </c>
      <c r="D14" s="82"/>
    </row>
    <row r="15" spans="1:4" x14ac:dyDescent="0.25">
      <c r="A15" s="116" t="s">
        <v>269</v>
      </c>
      <c r="B15" s="82">
        <v>18</v>
      </c>
      <c r="D15" s="82"/>
    </row>
    <row r="16" spans="1:4" x14ac:dyDescent="0.25">
      <c r="A16" s="116" t="s">
        <v>234</v>
      </c>
      <c r="B16" s="82">
        <v>2500</v>
      </c>
      <c r="D16" s="82"/>
    </row>
    <row r="17" spans="1:11" x14ac:dyDescent="0.25">
      <c r="A17" s="102" t="s">
        <v>54</v>
      </c>
      <c r="B17" s="117">
        <v>200000</v>
      </c>
      <c r="C17" s="117"/>
      <c r="D17" s="117"/>
    </row>
    <row r="18" spans="1:11" x14ac:dyDescent="0.25">
      <c r="A18" s="116" t="s">
        <v>268</v>
      </c>
      <c r="B18" s="98">
        <f>PI()*B15^2/4*B17/B16</f>
        <v>20357.520395261861</v>
      </c>
      <c r="C18" s="98"/>
      <c r="D18" s="98"/>
    </row>
    <row r="19" spans="1:11" s="166" customFormat="1" ht="16.5" thickBot="1" x14ac:dyDescent="0.3">
      <c r="A19" s="171" t="s">
        <v>320</v>
      </c>
      <c r="B19" s="167">
        <v>3</v>
      </c>
      <c r="C19" s="167"/>
      <c r="D19" s="167"/>
      <c r="F19" s="167"/>
      <c r="I19" s="168"/>
    </row>
    <row r="20" spans="1:11" s="163" customFormat="1" x14ac:dyDescent="0.25">
      <c r="A20" s="162" t="s">
        <v>341</v>
      </c>
      <c r="B20" s="172"/>
      <c r="D20" s="172"/>
      <c r="E20" s="172"/>
      <c r="F20" s="172"/>
      <c r="G20" s="172"/>
    </row>
    <row r="21" spans="1:11" s="163" customFormat="1" x14ac:dyDescent="0.25">
      <c r="A21" s="162" t="s">
        <v>321</v>
      </c>
      <c r="B21" s="172"/>
      <c r="C21" s="165"/>
      <c r="D21" s="202"/>
      <c r="E21" s="203"/>
      <c r="F21" s="203"/>
      <c r="G21" s="203"/>
      <c r="H21" s="203"/>
      <c r="I21" s="203"/>
      <c r="J21" s="203"/>
      <c r="K21" s="204"/>
    </row>
    <row r="22" spans="1:11" x14ac:dyDescent="0.25">
      <c r="A22" s="161" t="s">
        <v>339</v>
      </c>
      <c r="B22" s="172" t="s">
        <v>310</v>
      </c>
      <c r="C22" s="119" t="s">
        <v>282</v>
      </c>
      <c r="D22" s="230" t="s">
        <v>285</v>
      </c>
      <c r="E22" s="147">
        <f>B28^3/(3*B24*B35)</f>
        <v>0</v>
      </c>
      <c r="F22" s="81">
        <v>0</v>
      </c>
      <c r="G22" s="81">
        <v>0</v>
      </c>
      <c r="H22" s="81">
        <v>0</v>
      </c>
      <c r="I22" s="142">
        <f>E26</f>
        <v>0</v>
      </c>
      <c r="J22" s="81">
        <v>0</v>
      </c>
      <c r="K22" s="84" t="s">
        <v>276</v>
      </c>
    </row>
    <row r="23" spans="1:11" x14ac:dyDescent="0.25">
      <c r="A23" s="161" t="s">
        <v>342</v>
      </c>
      <c r="B23" s="118" t="s">
        <v>311</v>
      </c>
      <c r="C23" s="119" t="s">
        <v>283</v>
      </c>
      <c r="D23" s="231"/>
      <c r="E23" s="81">
        <v>0</v>
      </c>
      <c r="F23" s="142">
        <f>B28^3/(3*B24*B35)</f>
        <v>0</v>
      </c>
      <c r="G23" s="81">
        <v>0</v>
      </c>
      <c r="H23" s="142">
        <f>B28^2/(2*B24*B35)</f>
        <v>0</v>
      </c>
      <c r="I23" s="81">
        <v>0</v>
      </c>
      <c r="J23" s="81">
        <v>0</v>
      </c>
      <c r="K23" s="84" t="s">
        <v>277</v>
      </c>
    </row>
    <row r="24" spans="1:11" x14ac:dyDescent="0.25">
      <c r="A24" s="102" t="s">
        <v>291</v>
      </c>
      <c r="B24" s="98">
        <v>200000</v>
      </c>
      <c r="C24" s="119" t="s">
        <v>284</v>
      </c>
      <c r="D24" s="231"/>
      <c r="E24" s="81">
        <v>0</v>
      </c>
      <c r="F24" s="81">
        <v>0</v>
      </c>
      <c r="G24" s="142">
        <f>B28/(B24*B33)</f>
        <v>0</v>
      </c>
      <c r="H24" s="81">
        <v>0</v>
      </c>
      <c r="I24" s="81">
        <v>0</v>
      </c>
      <c r="J24" s="81">
        <v>0</v>
      </c>
      <c r="K24" s="84" t="s">
        <v>278</v>
      </c>
    </row>
    <row r="25" spans="1:11" x14ac:dyDescent="0.25">
      <c r="A25" s="102" t="s">
        <v>287</v>
      </c>
      <c r="B25" s="82">
        <v>0.28999999999999998</v>
      </c>
      <c r="C25" s="119" t="s">
        <v>273</v>
      </c>
      <c r="D25" s="231"/>
      <c r="E25" s="148"/>
      <c r="F25" s="142">
        <f>H23</f>
        <v>0</v>
      </c>
      <c r="G25" s="81">
        <v>0</v>
      </c>
      <c r="H25" s="142">
        <f>B28/(B24*B35)</f>
        <v>0</v>
      </c>
      <c r="I25" s="81">
        <v>0</v>
      </c>
      <c r="J25" s="81">
        <v>0</v>
      </c>
      <c r="K25" s="84" t="s">
        <v>279</v>
      </c>
    </row>
    <row r="26" spans="1:11" x14ac:dyDescent="0.25">
      <c r="A26" s="102" t="s">
        <v>292</v>
      </c>
      <c r="B26" s="97">
        <f>B24/(2*(1+B25))</f>
        <v>77519.379844961237</v>
      </c>
      <c r="C26" s="119" t="s">
        <v>275</v>
      </c>
      <c r="D26" s="231"/>
      <c r="E26" s="142">
        <f>-1*B29^2/(2*B24*B35)</f>
        <v>0</v>
      </c>
      <c r="F26" s="81">
        <v>0</v>
      </c>
      <c r="G26" s="81">
        <v>0</v>
      </c>
      <c r="H26" s="81">
        <v>0</v>
      </c>
      <c r="I26" s="142">
        <f>B28/(B24*B35)</f>
        <v>0</v>
      </c>
      <c r="J26" s="81">
        <v>0</v>
      </c>
      <c r="K26" s="84" t="s">
        <v>280</v>
      </c>
    </row>
    <row r="27" spans="1:11" x14ac:dyDescent="0.25">
      <c r="A27" s="191" t="s">
        <v>343</v>
      </c>
      <c r="C27" s="119" t="s">
        <v>274</v>
      </c>
      <c r="D27" s="254"/>
      <c r="E27" s="81">
        <v>0</v>
      </c>
      <c r="F27" s="81">
        <v>0</v>
      </c>
      <c r="G27" s="81">
        <v>0</v>
      </c>
      <c r="H27" s="81">
        <v>0</v>
      </c>
      <c r="I27" s="81">
        <v>0</v>
      </c>
      <c r="J27" s="142">
        <f>B29/(B26*B36)</f>
        <v>0</v>
      </c>
      <c r="K27" s="84" t="s">
        <v>281</v>
      </c>
    </row>
    <row r="28" spans="1:11" x14ac:dyDescent="0.25">
      <c r="A28" s="102" t="s">
        <v>347</v>
      </c>
      <c r="B28" s="83">
        <f>ABS('CSs and Loads'!C15)</f>
        <v>0</v>
      </c>
      <c r="C28" s="81"/>
    </row>
    <row r="29" spans="1:11" x14ac:dyDescent="0.25">
      <c r="A29" s="102" t="s">
        <v>234</v>
      </c>
      <c r="B29" s="83">
        <f>B28</f>
        <v>0</v>
      </c>
      <c r="C29" s="81"/>
    </row>
    <row r="30" spans="1:11" x14ac:dyDescent="0.25">
      <c r="A30" s="102" t="s">
        <v>345</v>
      </c>
      <c r="B30" s="82">
        <v>25</v>
      </c>
      <c r="C30" s="97"/>
    </row>
    <row r="31" spans="1:11" x14ac:dyDescent="0.25">
      <c r="A31" s="102" t="s">
        <v>344</v>
      </c>
      <c r="B31" s="160">
        <v>0.5</v>
      </c>
      <c r="C31" s="81"/>
      <c r="H31" s="144"/>
    </row>
    <row r="32" spans="1:11" x14ac:dyDescent="0.25">
      <c r="A32" s="102" t="s">
        <v>271</v>
      </c>
      <c r="B32" s="81"/>
      <c r="C32" s="97"/>
    </row>
    <row r="33" spans="1:11" x14ac:dyDescent="0.25">
      <c r="A33" s="102" t="s">
        <v>272</v>
      </c>
      <c r="B33" s="97">
        <f>B31*PI()*B30^2/4</f>
        <v>245.43692606170259</v>
      </c>
      <c r="C33" s="97"/>
    </row>
    <row r="34" spans="1:11" x14ac:dyDescent="0.25">
      <c r="A34" s="102" t="s">
        <v>315</v>
      </c>
      <c r="B34" s="81"/>
      <c r="C34" s="97"/>
    </row>
    <row r="35" spans="1:11" x14ac:dyDescent="0.25">
      <c r="A35" s="102" t="s">
        <v>316</v>
      </c>
      <c r="B35" s="97">
        <f>B31*PI()*B30^4/64</f>
        <v>9587.3799242852565</v>
      </c>
      <c r="C35" s="98"/>
    </row>
    <row r="36" spans="1:11" x14ac:dyDescent="0.25">
      <c r="A36" s="102" t="s">
        <v>236</v>
      </c>
      <c r="B36" s="97">
        <f>B31*PI()*B30^4/32</f>
        <v>19174.759848570513</v>
      </c>
    </row>
    <row r="37" spans="1:11" x14ac:dyDescent="0.25">
      <c r="A37" s="102" t="s">
        <v>337</v>
      </c>
      <c r="B37" s="97">
        <f>B35/B33</f>
        <v>39.062499999999993</v>
      </c>
      <c r="C37" s="97"/>
    </row>
    <row r="38" spans="1:11" x14ac:dyDescent="0.25">
      <c r="A38" s="102" t="s">
        <v>348</v>
      </c>
      <c r="B38" s="97" t="e">
        <f>3*B24*B35/B29^3</f>
        <v>#DIV/0!</v>
      </c>
      <c r="C38" s="145"/>
    </row>
    <row r="39" spans="1:11" s="166" customFormat="1" ht="16.5" thickBot="1" x14ac:dyDescent="0.3">
      <c r="A39" s="233" t="s">
        <v>354</v>
      </c>
      <c r="B39" s="234"/>
      <c r="C39" s="234"/>
      <c r="D39" s="234"/>
      <c r="E39" s="234"/>
      <c r="F39" s="234"/>
      <c r="G39" s="234"/>
      <c r="H39" s="234"/>
      <c r="I39" s="234"/>
      <c r="J39" s="234"/>
      <c r="K39" s="235"/>
    </row>
    <row r="40" spans="1:11" customFormat="1" x14ac:dyDescent="0.25"/>
    <row r="41" spans="1:11" customFormat="1" x14ac:dyDescent="0.25"/>
    <row r="42" spans="1:11" customFormat="1" x14ac:dyDescent="0.25"/>
    <row r="43" spans="1:11" customFormat="1" x14ac:dyDescent="0.25"/>
    <row r="44" spans="1:11" customFormat="1" x14ac:dyDescent="0.25"/>
    <row r="45" spans="1:11" customFormat="1" x14ac:dyDescent="0.25"/>
    <row r="46" spans="1:11" customFormat="1" x14ac:dyDescent="0.25"/>
    <row r="47" spans="1:11" customFormat="1" x14ac:dyDescent="0.25"/>
    <row r="48" spans="1:11"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6"/>
  <sheetViews>
    <sheetView zoomScale="150" zoomScaleNormal="150" zoomScalePageLayoutView="150" workbookViewId="0">
      <selection activeCell="D14" sqref="D14"/>
    </sheetView>
  </sheetViews>
  <sheetFormatPr defaultColWidth="8.875" defaultRowHeight="15.75" x14ac:dyDescent="0.25"/>
  <cols>
    <col min="1" max="1" width="48.125" customWidth="1"/>
    <col min="2" max="2" width="9.875" bestFit="1" customWidth="1"/>
    <col min="3" max="3" width="9.375" customWidth="1"/>
    <col min="4" max="4" width="9.625" customWidth="1"/>
    <col min="5" max="5" width="16.625" customWidth="1"/>
    <col min="6" max="6" width="10.125" bestFit="1" customWidth="1"/>
  </cols>
  <sheetData>
    <row r="2" spans="1:5" x14ac:dyDescent="0.25">
      <c r="A2" t="s">
        <v>11</v>
      </c>
    </row>
    <row r="3" spans="1:5" x14ac:dyDescent="0.25">
      <c r="A3" s="1" t="s">
        <v>12</v>
      </c>
      <c r="B3" t="s">
        <v>18</v>
      </c>
      <c r="C3" t="s">
        <v>19</v>
      </c>
      <c r="D3" t="s">
        <v>20</v>
      </c>
    </row>
    <row r="4" spans="1:5" x14ac:dyDescent="0.25">
      <c r="A4" s="2" t="s">
        <v>13</v>
      </c>
      <c r="B4" t="s">
        <v>21</v>
      </c>
      <c r="C4" t="s">
        <v>24</v>
      </c>
      <c r="D4" s="1">
        <v>250</v>
      </c>
    </row>
    <row r="5" spans="1:5" x14ac:dyDescent="0.25">
      <c r="A5" s="2" t="s">
        <v>14</v>
      </c>
      <c r="B5" t="s">
        <v>21</v>
      </c>
      <c r="C5" t="s">
        <v>25</v>
      </c>
      <c r="D5" s="1">
        <v>12.7</v>
      </c>
    </row>
    <row r="6" spans="1:5" x14ac:dyDescent="0.25">
      <c r="A6" s="2" t="s">
        <v>17</v>
      </c>
      <c r="B6" t="s">
        <v>22</v>
      </c>
      <c r="C6" t="s">
        <v>26</v>
      </c>
      <c r="D6" s="20">
        <f>PI()*(R_OD^2-(R_OD-2*R_wall)^2)/4</f>
        <v>9467.8491960500978</v>
      </c>
    </row>
    <row r="7" spans="1:5" x14ac:dyDescent="0.25">
      <c r="A7" s="2" t="s">
        <v>15</v>
      </c>
      <c r="B7" t="s">
        <v>23</v>
      </c>
      <c r="C7" t="s">
        <v>27</v>
      </c>
      <c r="D7" s="143">
        <f>PI()*(R_OD^4-(R_OD-2*R_wall)^4)/64</f>
        <v>66834233.893984355</v>
      </c>
    </row>
    <row r="8" spans="1:5" x14ac:dyDescent="0.25">
      <c r="A8" s="2" t="s">
        <v>45</v>
      </c>
      <c r="B8" t="s">
        <v>23</v>
      </c>
      <c r="C8" t="s">
        <v>46</v>
      </c>
      <c r="D8" s="143">
        <f>PI()*(R_OD^4-(R_OD-2*R_wall)^4)/32</f>
        <v>133668467.78796871</v>
      </c>
    </row>
    <row r="9" spans="1:5" x14ac:dyDescent="0.25">
      <c r="A9" s="1" t="s">
        <v>16</v>
      </c>
    </row>
    <row r="10" spans="1:5" x14ac:dyDescent="0.25">
      <c r="A10" s="2" t="s">
        <v>13</v>
      </c>
      <c r="B10" t="s">
        <v>21</v>
      </c>
      <c r="C10" t="s">
        <v>28</v>
      </c>
      <c r="D10" s="1">
        <v>100</v>
      </c>
    </row>
    <row r="11" spans="1:5" x14ac:dyDescent="0.25">
      <c r="A11" s="2" t="s">
        <v>14</v>
      </c>
      <c r="B11" t="s">
        <v>21</v>
      </c>
      <c r="C11" t="s">
        <v>29</v>
      </c>
      <c r="D11" s="1">
        <v>6</v>
      </c>
    </row>
    <row r="12" spans="1:5" x14ac:dyDescent="0.25">
      <c r="A12" s="2" t="s">
        <v>17</v>
      </c>
      <c r="B12" t="s">
        <v>22</v>
      </c>
      <c r="C12" t="s">
        <v>30</v>
      </c>
      <c r="D12" s="20">
        <f>S_OD^2-(S_OD-2*S_wall)^2</f>
        <v>2256</v>
      </c>
    </row>
    <row r="13" spans="1:5" x14ac:dyDescent="0.25">
      <c r="A13" s="2" t="s">
        <v>213</v>
      </c>
      <c r="B13" t="s">
        <v>23</v>
      </c>
      <c r="C13" t="s">
        <v>31</v>
      </c>
      <c r="D13" s="25">
        <f>(S_OD^4-(S_OD-2*S_wall)^4)/12</f>
        <v>3335872</v>
      </c>
    </row>
    <row r="14" spans="1:5" x14ac:dyDescent="0.25">
      <c r="A14" s="2" t="s">
        <v>45</v>
      </c>
      <c r="B14" t="s">
        <v>23</v>
      </c>
      <c r="C14" t="s">
        <v>212</v>
      </c>
      <c r="D14" s="25">
        <f>4*((S_OD-S_wall)^2)^2*S_wall/(4*(S_OD-S_wall))</f>
        <v>4983504</v>
      </c>
      <c r="E14" s="15"/>
    </row>
    <row r="15" spans="1:5" x14ac:dyDescent="0.25">
      <c r="A15" s="1" t="s">
        <v>216</v>
      </c>
      <c r="B15" t="s">
        <v>21</v>
      </c>
      <c r="C15" t="s">
        <v>220</v>
      </c>
      <c r="D15" s="8">
        <v>25</v>
      </c>
    </row>
    <row r="16" spans="1:5" x14ac:dyDescent="0.25">
      <c r="A16" s="2" t="s">
        <v>217</v>
      </c>
      <c r="D16" s="8"/>
    </row>
    <row r="17" spans="1:6" x14ac:dyDescent="0.25">
      <c r="A17" s="2" t="s">
        <v>218</v>
      </c>
      <c r="B17" t="s">
        <v>21</v>
      </c>
      <c r="C17" t="s">
        <v>221</v>
      </c>
      <c r="D17" s="8">
        <f>S_OD-lgrs</f>
        <v>75</v>
      </c>
      <c r="F17">
        <f>4*S_OD^4*S_wall/(4*(S_OD-S_wall))</f>
        <v>6382978.7234042557</v>
      </c>
    </row>
    <row r="18" spans="1:6" x14ac:dyDescent="0.25">
      <c r="A18" s="2" t="s">
        <v>219</v>
      </c>
      <c r="B18" t="s">
        <v>21</v>
      </c>
      <c r="C18" t="s">
        <v>222</v>
      </c>
      <c r="D18" s="8">
        <f>R_OD+lgrs</f>
        <v>275</v>
      </c>
    </row>
    <row r="19" spans="1:6" x14ac:dyDescent="0.25">
      <c r="A19" s="140" t="s">
        <v>224</v>
      </c>
      <c r="F19">
        <f>S_IP/F17</f>
        <v>0.78074895999999994</v>
      </c>
    </row>
    <row r="20" spans="1:6" x14ac:dyDescent="0.25">
      <c r="A20" s="2" t="s">
        <v>215</v>
      </c>
      <c r="B20" s="90">
        <f>R_Area/S_Area</f>
        <v>4.1967416649158231</v>
      </c>
    </row>
    <row r="21" spans="1:6" x14ac:dyDescent="0.25">
      <c r="A21" s="2" t="s">
        <v>214</v>
      </c>
      <c r="B21" s="90">
        <f>D7/S_I</f>
        <v>20.035011503434291</v>
      </c>
    </row>
    <row r="22" spans="1:6" x14ac:dyDescent="0.25">
      <c r="A22" s="2" t="s">
        <v>47</v>
      </c>
      <c r="B22" s="90">
        <f>R_Ip/S_IP</f>
        <v>26.822185311373023</v>
      </c>
    </row>
    <row r="23" spans="1:6" x14ac:dyDescent="0.25">
      <c r="A23" s="2" t="s">
        <v>223</v>
      </c>
      <c r="B23" s="8">
        <f>D18/lgst</f>
        <v>3.6666666666666665</v>
      </c>
    </row>
    <row r="30" spans="1:6" x14ac:dyDescent="0.25">
      <c r="A30" s="2" t="s">
        <v>48</v>
      </c>
    </row>
    <row r="31" spans="1:6" x14ac:dyDescent="0.25">
      <c r="A31" t="s">
        <v>12</v>
      </c>
      <c r="B31" t="s">
        <v>18</v>
      </c>
      <c r="C31" t="s">
        <v>20</v>
      </c>
    </row>
    <row r="32" spans="1:6" x14ac:dyDescent="0.25">
      <c r="A32" s="2" t="s">
        <v>54</v>
      </c>
      <c r="B32" t="s">
        <v>55</v>
      </c>
      <c r="C32" s="18">
        <f>200000/3</f>
        <v>66666.666666666672</v>
      </c>
    </row>
    <row r="33" spans="1:5" x14ac:dyDescent="0.25">
      <c r="A33" s="2" t="s">
        <v>13</v>
      </c>
      <c r="B33" t="s">
        <v>21</v>
      </c>
      <c r="C33" s="1">
        <v>500</v>
      </c>
    </row>
    <row r="34" spans="1:5" x14ac:dyDescent="0.25">
      <c r="A34" s="2" t="s">
        <v>14</v>
      </c>
      <c r="B34" t="s">
        <v>21</v>
      </c>
      <c r="C34" s="1">
        <v>25</v>
      </c>
    </row>
    <row r="35" spans="1:5" x14ac:dyDescent="0.25">
      <c r="A35" s="2" t="s">
        <v>17</v>
      </c>
      <c r="B35" t="s">
        <v>22</v>
      </c>
      <c r="C35" s="20">
        <f>PI()*(C33^2-(C33-2*C34)^2)/4</f>
        <v>37306.412761378793</v>
      </c>
    </row>
    <row r="36" spans="1:5" x14ac:dyDescent="0.25">
      <c r="A36" s="2" t="s">
        <v>213</v>
      </c>
      <c r="B36" t="s">
        <v>23</v>
      </c>
      <c r="C36" s="15">
        <f>PI()*(C33^4-(C33-2*C34)^4)/64</f>
        <v>1055071985.9077441</v>
      </c>
    </row>
    <row r="37" spans="1:5" x14ac:dyDescent="0.25">
      <c r="A37" s="2" t="s">
        <v>45</v>
      </c>
      <c r="B37" t="s">
        <v>23</v>
      </c>
      <c r="C37" s="15">
        <f>PI()*(C33^4-(C33-2*C34)^4)/32</f>
        <v>2110143971.8154881</v>
      </c>
    </row>
    <row r="38" spans="1:5" x14ac:dyDescent="0.25">
      <c r="A38" s="2" t="s">
        <v>49</v>
      </c>
      <c r="B38" t="s">
        <v>21</v>
      </c>
      <c r="C38">
        <v>1800</v>
      </c>
    </row>
    <row r="39" spans="1:5" x14ac:dyDescent="0.25">
      <c r="A39" s="2" t="s">
        <v>50</v>
      </c>
      <c r="B39" t="s">
        <v>21</v>
      </c>
    </row>
    <row r="40" spans="1:5" x14ac:dyDescent="0.25">
      <c r="A40" s="2" t="s">
        <v>51</v>
      </c>
      <c r="B40" t="s">
        <v>21</v>
      </c>
      <c r="C40">
        <v>200</v>
      </c>
      <c r="E40" s="24"/>
    </row>
    <row r="41" spans="1:5" x14ac:dyDescent="0.25">
      <c r="A41" s="2" t="s">
        <v>62</v>
      </c>
      <c r="B41" t="s">
        <v>21</v>
      </c>
      <c r="C41">
        <f>C40+C39</f>
        <v>200</v>
      </c>
    </row>
    <row r="42" spans="1:5" x14ac:dyDescent="0.25">
      <c r="A42" s="2" t="s">
        <v>52</v>
      </c>
      <c r="B42" t="s">
        <v>53</v>
      </c>
      <c r="C42" s="25">
        <f>(C32/3)*C37*(1/(C40+C39)+1/(C38-C39-C40))</f>
        <v>263767996476.93604</v>
      </c>
    </row>
    <row r="43" spans="1:5" x14ac:dyDescent="0.25">
      <c r="A43" s="2" t="s">
        <v>56</v>
      </c>
      <c r="B43" t="s">
        <v>36</v>
      </c>
      <c r="C43" s="19">
        <f>C35*C32*(1/(C40+C39)+1/(C38-C39-C40))</f>
        <v>13989904.785517048</v>
      </c>
      <c r="D43" t="s">
        <v>59</v>
      </c>
    </row>
    <row r="44" spans="1:5" x14ac:dyDescent="0.25">
      <c r="A44" s="2" t="s">
        <v>57</v>
      </c>
      <c r="B44" t="s">
        <v>36</v>
      </c>
      <c r="C44" s="16">
        <f>6*C38*C32*C36/(  (C41-C38)*(C41^3-C38^3+(C38-C41)^3)   )</f>
        <v>274758.32966347499</v>
      </c>
      <c r="D44" t="s">
        <v>60</v>
      </c>
    </row>
    <row r="45" spans="1:5" x14ac:dyDescent="0.25">
      <c r="A45" s="2" t="s">
        <v>58</v>
      </c>
      <c r="B45" t="s">
        <v>36</v>
      </c>
      <c r="C45" s="16">
        <f>C44</f>
        <v>274758.32966347499</v>
      </c>
      <c r="D45" t="s">
        <v>60</v>
      </c>
    </row>
    <row r="46" spans="1:5" x14ac:dyDescent="0.2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workbookViewId="0">
      <selection activeCell="S27" sqref="S27"/>
    </sheetView>
  </sheetViews>
  <sheetFormatPr defaultColWidth="8.875" defaultRowHeight="15.75" x14ac:dyDescent="0.25"/>
  <cols>
    <col min="1" max="1" width="15.625" customWidth="1"/>
  </cols>
  <sheetData>
    <row r="2" spans="1:2" x14ac:dyDescent="0.25">
      <c r="A2" t="s">
        <v>10</v>
      </c>
    </row>
    <row r="3" spans="1:2" x14ac:dyDescent="0.25">
      <c r="A3" t="s">
        <v>37</v>
      </c>
    </row>
    <row r="4" spans="1:2" x14ac:dyDescent="0.25">
      <c r="A4" t="s">
        <v>38</v>
      </c>
      <c r="B4">
        <v>12</v>
      </c>
    </row>
    <row r="5" spans="1:2" x14ac:dyDescent="0.25">
      <c r="A5" t="s">
        <v>39</v>
      </c>
      <c r="B5" s="17">
        <v>200000</v>
      </c>
    </row>
    <row r="6" spans="1:2" x14ac:dyDescent="0.25">
      <c r="A6" t="s">
        <v>40</v>
      </c>
      <c r="B6">
        <v>400</v>
      </c>
    </row>
    <row r="7" spans="1:2" x14ac:dyDescent="0.25">
      <c r="A7" t="s">
        <v>41</v>
      </c>
      <c r="B7" s="21">
        <f>B5*PI()*B4^2/4/B6</f>
        <v>56548.667764616272</v>
      </c>
    </row>
    <row r="9" spans="1:2" x14ac:dyDescent="0.25">
      <c r="A9" t="s">
        <v>9</v>
      </c>
    </row>
    <row r="10" spans="1:2" x14ac:dyDescent="0.25">
      <c r="A10" t="s">
        <v>37</v>
      </c>
    </row>
    <row r="11" spans="1:2" x14ac:dyDescent="0.25">
      <c r="A11" t="s">
        <v>38</v>
      </c>
      <c r="B11">
        <v>15</v>
      </c>
    </row>
    <row r="12" spans="1:2" x14ac:dyDescent="0.25">
      <c r="A12" t="s">
        <v>39</v>
      </c>
      <c r="B12" s="17">
        <v>200000</v>
      </c>
    </row>
    <row r="13" spans="1:2" x14ac:dyDescent="0.25">
      <c r="A13" t="s">
        <v>40</v>
      </c>
      <c r="B13">
        <v>750</v>
      </c>
    </row>
    <row r="14" spans="1:2" x14ac:dyDescent="0.25">
      <c r="A14" t="s">
        <v>41</v>
      </c>
      <c r="B14" s="21">
        <f>B12*PI()*B11^2/4/B13</f>
        <v>47123.889803846898</v>
      </c>
    </row>
    <row r="16" spans="1:2" x14ac:dyDescent="0.25">
      <c r="A16" t="s">
        <v>9</v>
      </c>
    </row>
    <row r="17" spans="1:2" x14ac:dyDescent="0.25">
      <c r="A17" t="s">
        <v>37</v>
      </c>
    </row>
    <row r="18" spans="1:2" x14ac:dyDescent="0.25">
      <c r="A18" t="s">
        <v>38</v>
      </c>
      <c r="B18">
        <v>20</v>
      </c>
    </row>
    <row r="19" spans="1:2" x14ac:dyDescent="0.25">
      <c r="A19" t="s">
        <v>39</v>
      </c>
      <c r="B19" s="17">
        <v>200000</v>
      </c>
    </row>
    <row r="20" spans="1:2" x14ac:dyDescent="0.25">
      <c r="A20" t="s">
        <v>40</v>
      </c>
      <c r="B20">
        <v>1500</v>
      </c>
    </row>
    <row r="21" spans="1:2" x14ac:dyDescent="0.25">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topLeftCell="A3" workbookViewId="0">
      <selection activeCell="B4" sqref="B4"/>
    </sheetView>
  </sheetViews>
  <sheetFormatPr defaultColWidth="11" defaultRowHeight="15.75" x14ac:dyDescent="0.25"/>
  <cols>
    <col min="1" max="1" width="31.625" customWidth="1"/>
  </cols>
  <sheetData>
    <row r="2" spans="1:2" x14ac:dyDescent="0.25">
      <c r="A2" s="96"/>
      <c r="B2" s="96"/>
    </row>
    <row r="3" spans="1:2" x14ac:dyDescent="0.25">
      <c r="A3" s="96" t="s">
        <v>238</v>
      </c>
      <c r="B3" s="96"/>
    </row>
    <row r="4" spans="1:2" x14ac:dyDescent="0.25">
      <c r="A4" s="99" t="s">
        <v>228</v>
      </c>
      <c r="B4" s="82">
        <v>100</v>
      </c>
    </row>
    <row r="5" spans="1:2" x14ac:dyDescent="0.25">
      <c r="A5" s="99" t="s">
        <v>229</v>
      </c>
      <c r="B5" s="82">
        <v>15</v>
      </c>
    </row>
    <row r="6" spans="1:2" x14ac:dyDescent="0.25">
      <c r="A6" s="99" t="s">
        <v>235</v>
      </c>
      <c r="B6" s="97">
        <f>PI()*(B4^4-(B4-2*B5)^4)/64</f>
        <v>3730150.4022857561</v>
      </c>
    </row>
    <row r="7" spans="1:2" x14ac:dyDescent="0.25">
      <c r="A7" s="99" t="s">
        <v>236</v>
      </c>
      <c r="B7" s="97">
        <f>PI()*(B4^4-(B4-2*B5)^4)/32</f>
        <v>7460300.8045715122</v>
      </c>
    </row>
    <row r="8" spans="1:2" x14ac:dyDescent="0.25">
      <c r="A8" s="99" t="s">
        <v>234</v>
      </c>
      <c r="B8" s="83">
        <f>'CSs and Loads'!C13</f>
        <v>600</v>
      </c>
    </row>
    <row r="9" spans="1:2" x14ac:dyDescent="0.25">
      <c r="A9" s="99" t="s">
        <v>233</v>
      </c>
      <c r="B9" s="98">
        <v>70000</v>
      </c>
    </row>
    <row r="10" spans="1:2" x14ac:dyDescent="0.25">
      <c r="A10" s="96" t="s">
        <v>237</v>
      </c>
      <c r="B10" s="82"/>
    </row>
    <row r="11" spans="1:2" x14ac:dyDescent="0.25">
      <c r="A11" s="99" t="s">
        <v>232</v>
      </c>
      <c r="B11" s="98">
        <f>B7*B9/B8</f>
        <v>870368427.20000982</v>
      </c>
    </row>
    <row r="12" spans="1:2" x14ac:dyDescent="0.25">
      <c r="A12" s="99" t="s">
        <v>230</v>
      </c>
      <c r="B12" s="98">
        <f>2*B9*B6/B8</f>
        <v>870368427.20000982</v>
      </c>
    </row>
    <row r="13" spans="1:2" x14ac:dyDescent="0.25">
      <c r="A13" s="99" t="s">
        <v>231</v>
      </c>
      <c r="B13" s="98">
        <f>B16</f>
        <v>1.148938735308928E-9</v>
      </c>
    </row>
    <row r="14" spans="1:2" x14ac:dyDescent="0.25">
      <c r="A14" s="96" t="s">
        <v>239</v>
      </c>
      <c r="B14" s="82"/>
    </row>
    <row r="15" spans="1:2" x14ac:dyDescent="0.25">
      <c r="A15" s="99" t="s">
        <v>240</v>
      </c>
      <c r="B15" s="98">
        <f>1/B11</f>
        <v>1.148938735308928E-9</v>
      </c>
    </row>
    <row r="16" spans="1:2" x14ac:dyDescent="0.25">
      <c r="A16" s="99" t="s">
        <v>241</v>
      </c>
      <c r="B16" s="98">
        <f t="shared" ref="B16:B17" si="0">1/B12</f>
        <v>1.148938735308928E-9</v>
      </c>
    </row>
    <row r="17" spans="1:2" x14ac:dyDescent="0.25">
      <c r="A17" s="99" t="s">
        <v>242</v>
      </c>
      <c r="B17" s="98">
        <f t="shared" si="0"/>
        <v>870368427.20000982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ColWidth="11" defaultRowHeight="15.75" x14ac:dyDescent="0.25"/>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defaultColWidth="11" defaultRowHeight="15.75" x14ac:dyDescent="0.25"/>
  <cols>
    <col min="1" max="1" width="19.37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B21" sqref="B21:D21"/>
    </sheetView>
  </sheetViews>
  <sheetFormatPr defaultColWidth="11" defaultRowHeight="15.75" x14ac:dyDescent="0.25"/>
  <cols>
    <col min="4" max="4" width="40.625" customWidth="1"/>
  </cols>
  <sheetData>
    <row r="1" spans="1:4" x14ac:dyDescent="0.25">
      <c r="A1" s="1" t="s">
        <v>382</v>
      </c>
    </row>
    <row r="5" spans="1:4" s="1" customFormat="1" x14ac:dyDescent="0.25">
      <c r="A5" s="1" t="s">
        <v>173</v>
      </c>
      <c r="B5" s="1" t="s">
        <v>172</v>
      </c>
      <c r="C5" s="1" t="s">
        <v>170</v>
      </c>
      <c r="D5" s="1" t="s">
        <v>174</v>
      </c>
    </row>
    <row r="6" spans="1:4" x14ac:dyDescent="0.25">
      <c r="A6">
        <v>1</v>
      </c>
      <c r="B6" t="s">
        <v>191</v>
      </c>
      <c r="C6" t="s">
        <v>192</v>
      </c>
      <c r="D6" t="s">
        <v>193</v>
      </c>
    </row>
    <row r="7" spans="1:4" x14ac:dyDescent="0.25">
      <c r="A7">
        <f>A6+1</f>
        <v>2</v>
      </c>
      <c r="B7" t="s">
        <v>197</v>
      </c>
      <c r="C7" t="s">
        <v>192</v>
      </c>
      <c r="D7" t="s">
        <v>198</v>
      </c>
    </row>
    <row r="8" spans="1:4" x14ac:dyDescent="0.25">
      <c r="A8">
        <f t="shared" ref="A8:A37" si="0">A7+1</f>
        <v>3</v>
      </c>
      <c r="B8" t="s">
        <v>199</v>
      </c>
      <c r="C8" t="s">
        <v>192</v>
      </c>
      <c r="D8" t="s">
        <v>200</v>
      </c>
    </row>
    <row r="9" spans="1:4" x14ac:dyDescent="0.25">
      <c r="A9">
        <f t="shared" si="0"/>
        <v>4</v>
      </c>
      <c r="B9" t="s">
        <v>204</v>
      </c>
      <c r="C9" t="s">
        <v>192</v>
      </c>
      <c r="D9" t="s">
        <v>205</v>
      </c>
    </row>
    <row r="10" spans="1:4" x14ac:dyDescent="0.25">
      <c r="A10">
        <f t="shared" si="0"/>
        <v>5</v>
      </c>
      <c r="B10" t="s">
        <v>206</v>
      </c>
      <c r="C10" t="s">
        <v>192</v>
      </c>
      <c r="D10" s="45" t="s">
        <v>209</v>
      </c>
    </row>
    <row r="11" spans="1:4" x14ac:dyDescent="0.25">
      <c r="A11">
        <f t="shared" si="0"/>
        <v>6</v>
      </c>
      <c r="B11" t="s">
        <v>210</v>
      </c>
      <c r="C11" t="s">
        <v>192</v>
      </c>
      <c r="D11" t="s">
        <v>211</v>
      </c>
    </row>
    <row r="12" spans="1:4" x14ac:dyDescent="0.25">
      <c r="A12">
        <f t="shared" si="0"/>
        <v>7</v>
      </c>
      <c r="B12" t="s">
        <v>225</v>
      </c>
      <c r="C12" t="s">
        <v>192</v>
      </c>
      <c r="D12" t="s">
        <v>300</v>
      </c>
    </row>
    <row r="13" spans="1:4" x14ac:dyDescent="0.25">
      <c r="A13">
        <f t="shared" si="0"/>
        <v>8</v>
      </c>
      <c r="B13" t="s">
        <v>301</v>
      </c>
      <c r="C13" t="s">
        <v>192</v>
      </c>
      <c r="D13" t="s">
        <v>302</v>
      </c>
    </row>
    <row r="14" spans="1:4" x14ac:dyDescent="0.25">
      <c r="A14">
        <f t="shared" si="0"/>
        <v>9</v>
      </c>
      <c r="B14" t="s">
        <v>299</v>
      </c>
      <c r="C14" t="s">
        <v>192</v>
      </c>
      <c r="D14" t="s">
        <v>336</v>
      </c>
    </row>
    <row r="15" spans="1:4" x14ac:dyDescent="0.25">
      <c r="A15">
        <f t="shared" si="0"/>
        <v>10</v>
      </c>
      <c r="B15" t="s">
        <v>375</v>
      </c>
      <c r="C15" t="s">
        <v>192</v>
      </c>
      <c r="D15" t="s">
        <v>376</v>
      </c>
    </row>
    <row r="16" spans="1:4" x14ac:dyDescent="0.25">
      <c r="A16">
        <f t="shared" si="0"/>
        <v>11</v>
      </c>
      <c r="B16" t="s">
        <v>383</v>
      </c>
      <c r="C16" t="s">
        <v>192</v>
      </c>
      <c r="D16" t="s">
        <v>384</v>
      </c>
    </row>
    <row r="17" spans="1:4" x14ac:dyDescent="0.25">
      <c r="A17">
        <f t="shared" si="0"/>
        <v>12</v>
      </c>
      <c r="B17" t="s">
        <v>383</v>
      </c>
      <c r="C17" t="s">
        <v>192</v>
      </c>
      <c r="D17" t="s">
        <v>386</v>
      </c>
    </row>
    <row r="18" spans="1:4" x14ac:dyDescent="0.25">
      <c r="A18">
        <f t="shared" si="0"/>
        <v>13</v>
      </c>
      <c r="B18" t="s">
        <v>388</v>
      </c>
      <c r="C18" t="s">
        <v>192</v>
      </c>
      <c r="D18" t="s">
        <v>389</v>
      </c>
    </row>
    <row r="19" spans="1:4" x14ac:dyDescent="0.25">
      <c r="A19">
        <f t="shared" si="0"/>
        <v>14</v>
      </c>
      <c r="B19" t="s">
        <v>390</v>
      </c>
      <c r="C19" t="s">
        <v>192</v>
      </c>
      <c r="D19" t="s">
        <v>391</v>
      </c>
    </row>
    <row r="20" spans="1:4" x14ac:dyDescent="0.25">
      <c r="A20">
        <f t="shared" si="0"/>
        <v>15</v>
      </c>
      <c r="B20" t="s">
        <v>390</v>
      </c>
      <c r="C20" t="s">
        <v>192</v>
      </c>
      <c r="D20" t="s">
        <v>392</v>
      </c>
    </row>
    <row r="21" spans="1:4" x14ac:dyDescent="0.25">
      <c r="A21">
        <f t="shared" si="0"/>
        <v>16</v>
      </c>
      <c r="B21" t="s">
        <v>390</v>
      </c>
      <c r="C21" t="s">
        <v>192</v>
      </c>
      <c r="D21" t="s">
        <v>395</v>
      </c>
    </row>
    <row r="22" spans="1:4" x14ac:dyDescent="0.25">
      <c r="A22">
        <f t="shared" si="0"/>
        <v>17</v>
      </c>
    </row>
    <row r="23" spans="1:4" x14ac:dyDescent="0.25">
      <c r="A23">
        <f t="shared" si="0"/>
        <v>18</v>
      </c>
    </row>
    <row r="24" spans="1:4" x14ac:dyDescent="0.25">
      <c r="A24">
        <f t="shared" si="0"/>
        <v>19</v>
      </c>
    </row>
    <row r="25" spans="1:4" x14ac:dyDescent="0.25">
      <c r="A25">
        <f t="shared" si="0"/>
        <v>20</v>
      </c>
    </row>
    <row r="26" spans="1:4" x14ac:dyDescent="0.25">
      <c r="A26">
        <f t="shared" si="0"/>
        <v>21</v>
      </c>
    </row>
    <row r="27" spans="1:4" x14ac:dyDescent="0.25">
      <c r="A27">
        <f t="shared" si="0"/>
        <v>22</v>
      </c>
    </row>
    <row r="28" spans="1:4" x14ac:dyDescent="0.25">
      <c r="A28">
        <f t="shared" si="0"/>
        <v>23</v>
      </c>
    </row>
    <row r="29" spans="1:4" x14ac:dyDescent="0.25">
      <c r="A29">
        <f t="shared" si="0"/>
        <v>24</v>
      </c>
    </row>
    <row r="30" spans="1:4" x14ac:dyDescent="0.25">
      <c r="A30">
        <f t="shared" si="0"/>
        <v>25</v>
      </c>
    </row>
    <row r="31" spans="1:4" x14ac:dyDescent="0.25">
      <c r="A31">
        <f t="shared" si="0"/>
        <v>26</v>
      </c>
    </row>
    <row r="32" spans="1:4" x14ac:dyDescent="0.25">
      <c r="A32">
        <f t="shared" si="0"/>
        <v>27</v>
      </c>
    </row>
    <row r="33" spans="1:1" x14ac:dyDescent="0.25">
      <c r="A33">
        <f t="shared" si="0"/>
        <v>28</v>
      </c>
    </row>
    <row r="34" spans="1:1" x14ac:dyDescent="0.25">
      <c r="A34">
        <f t="shared" si="0"/>
        <v>29</v>
      </c>
    </row>
    <row r="35" spans="1:1" x14ac:dyDescent="0.25">
      <c r="A35">
        <f t="shared" si="0"/>
        <v>30</v>
      </c>
    </row>
    <row r="36" spans="1:1" x14ac:dyDescent="0.25">
      <c r="A36">
        <f t="shared" si="0"/>
        <v>31</v>
      </c>
    </row>
    <row r="37" spans="1:1" x14ac:dyDescent="0.25">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6"/>
  <sheetViews>
    <sheetView zoomScale="85" zoomScaleNormal="85" zoomScalePageLayoutView="200" workbookViewId="0">
      <selection activeCell="C120" sqref="C120"/>
    </sheetView>
  </sheetViews>
  <sheetFormatPr defaultColWidth="11" defaultRowHeight="15.75" x14ac:dyDescent="0.25"/>
  <cols>
    <col min="2" max="2" width="52.875" customWidth="1"/>
    <col min="3" max="4" width="12.125" bestFit="1" customWidth="1"/>
    <col min="5" max="5" width="16" customWidth="1"/>
    <col min="6" max="6" width="22.375" customWidth="1"/>
    <col min="7" max="7" width="15.5" customWidth="1"/>
    <col min="8" max="8" width="16.875" customWidth="1"/>
    <col min="9" max="9" width="14.5" customWidth="1"/>
    <col min="10" max="10" width="11" customWidth="1"/>
    <col min="11" max="11" width="16" customWidth="1"/>
    <col min="12" max="12" width="23.625" customWidth="1"/>
    <col min="13" max="13" width="15.375" customWidth="1"/>
    <col min="14" max="14" width="11" customWidth="1"/>
    <col min="15" max="15" width="15" customWidth="1"/>
    <col min="16" max="16" width="12.625" bestFit="1" customWidth="1"/>
    <col min="17" max="17" width="13.375" customWidth="1"/>
    <col min="18" max="18" width="11" customWidth="1"/>
    <col min="19" max="19" width="13.375" customWidth="1"/>
    <col min="20" max="20" width="13.875" customWidth="1"/>
    <col min="21" max="21" width="12.125" bestFit="1" customWidth="1"/>
    <col min="22" max="22" width="12.625" bestFit="1" customWidth="1"/>
    <col min="24" max="24" width="15.625" customWidth="1"/>
    <col min="28" max="28" width="11.125" bestFit="1" customWidth="1"/>
    <col min="31" max="31" width="13.5" customWidth="1"/>
    <col min="33" max="33" width="12.375" bestFit="1" customWidth="1"/>
    <col min="34" max="34" width="11.5" bestFit="1" customWidth="1"/>
    <col min="35" max="35" width="11" bestFit="1" customWidth="1"/>
    <col min="36" max="36" width="13.375" customWidth="1"/>
    <col min="41" max="41" width="13.5" bestFit="1" customWidth="1"/>
    <col min="47" max="47" width="14.125" customWidth="1"/>
    <col min="49" max="49" width="15.375" customWidth="1"/>
    <col min="52" max="52" width="14.125" customWidth="1"/>
    <col min="54" max="54" width="16.625" customWidth="1"/>
    <col min="57" max="57" width="18.875" customWidth="1"/>
    <col min="59" max="59" width="16.875" customWidth="1"/>
  </cols>
  <sheetData>
    <row r="1" spans="1:28" x14ac:dyDescent="0.25">
      <c r="A1" s="319" t="s">
        <v>158</v>
      </c>
      <c r="B1" s="319"/>
      <c r="C1" s="319"/>
      <c r="D1" s="319"/>
      <c r="E1" s="319"/>
      <c r="F1" s="319"/>
      <c r="G1" s="319"/>
    </row>
    <row r="2" spans="1:28" ht="15" customHeight="1" x14ac:dyDescent="0.25">
      <c r="A2" s="319" t="s">
        <v>176</v>
      </c>
      <c r="B2" s="319"/>
      <c r="C2" s="319"/>
      <c r="D2" s="319"/>
      <c r="E2" s="319"/>
      <c r="F2" s="319"/>
      <c r="G2" s="319"/>
      <c r="H2" s="39"/>
    </row>
    <row r="3" spans="1:28" ht="15" customHeight="1" x14ac:dyDescent="0.25">
      <c r="A3" s="319" t="s">
        <v>162</v>
      </c>
      <c r="B3" s="319"/>
      <c r="C3" s="319"/>
      <c r="D3" s="319"/>
      <c r="E3" s="319"/>
      <c r="F3" s="319"/>
      <c r="G3" s="319"/>
      <c r="H3" s="39"/>
    </row>
    <row r="4" spans="1:28" ht="15" customHeight="1" x14ac:dyDescent="0.25">
      <c r="A4" s="322" t="s">
        <v>164</v>
      </c>
      <c r="B4" s="322"/>
      <c r="C4" s="35" t="s">
        <v>163</v>
      </c>
      <c r="D4" s="1"/>
      <c r="E4" s="39"/>
      <c r="F4" s="39"/>
      <c r="G4" s="39"/>
      <c r="H4" s="39"/>
    </row>
    <row r="5" spans="1:28" ht="15" customHeight="1" x14ac:dyDescent="0.25">
      <c r="A5" s="322" t="s">
        <v>165</v>
      </c>
      <c r="B5" s="322"/>
      <c r="C5" s="44" t="s">
        <v>166</v>
      </c>
      <c r="E5" s="39"/>
      <c r="F5" s="39"/>
      <c r="G5" s="39"/>
      <c r="H5" s="39"/>
    </row>
    <row r="6" spans="1:28" ht="15" customHeight="1" x14ac:dyDescent="0.25">
      <c r="A6" s="34" t="s">
        <v>169</v>
      </c>
      <c r="B6" s="34"/>
      <c r="C6" s="10"/>
      <c r="E6" s="39"/>
      <c r="F6" s="39"/>
      <c r="G6" s="39"/>
      <c r="H6" s="39"/>
    </row>
    <row r="7" spans="1:28" ht="15" customHeight="1" x14ac:dyDescent="0.25">
      <c r="A7" s="34" t="s">
        <v>169</v>
      </c>
      <c r="B7" s="34"/>
      <c r="C7" s="10"/>
      <c r="E7" s="39"/>
      <c r="F7" s="39"/>
      <c r="G7" s="39"/>
      <c r="H7" s="39"/>
    </row>
    <row r="8" spans="1:28" ht="15" customHeight="1" x14ac:dyDescent="0.25">
      <c r="B8" s="39"/>
      <c r="C8" s="39"/>
      <c r="D8" s="39"/>
      <c r="E8" s="39"/>
      <c r="F8" s="39"/>
      <c r="G8" s="39"/>
      <c r="H8" s="39"/>
    </row>
    <row r="10" spans="1:28" x14ac:dyDescent="0.25">
      <c r="A10" s="340" t="s">
        <v>181</v>
      </c>
      <c r="B10" s="340"/>
      <c r="C10" s="37">
        <v>4</v>
      </c>
      <c r="D10" s="341" t="s">
        <v>175</v>
      </c>
      <c r="E10" s="341"/>
      <c r="F10" s="341"/>
      <c r="G10" s="341"/>
      <c r="H10" s="341"/>
    </row>
    <row r="11" spans="1:28" s="52" customFormat="1" ht="16.5" thickBot="1" x14ac:dyDescent="0.3">
      <c r="A11" s="59"/>
      <c r="B11" s="52" t="s">
        <v>182</v>
      </c>
    </row>
    <row r="12" spans="1:28" ht="15" customHeight="1" x14ac:dyDescent="0.25">
      <c r="A12" s="334" t="s">
        <v>323</v>
      </c>
      <c r="B12" s="68" t="s">
        <v>249</v>
      </c>
      <c r="E12" s="1" t="s">
        <v>140</v>
      </c>
    </row>
    <row r="13" spans="1:28" x14ac:dyDescent="0.25">
      <c r="A13" s="334"/>
      <c r="B13" s="12" t="s">
        <v>73</v>
      </c>
      <c r="C13" s="36">
        <v>600</v>
      </c>
      <c r="E13" s="319" t="s">
        <v>138</v>
      </c>
      <c r="F13" s="319"/>
      <c r="G13" s="319" t="s">
        <v>139</v>
      </c>
      <c r="H13" s="319"/>
      <c r="N13" s="34" t="s">
        <v>98</v>
      </c>
      <c r="O13" s="1"/>
      <c r="P13" s="67"/>
      <c r="Q13" s="1"/>
      <c r="R13" s="1"/>
      <c r="S13" s="34" t="s">
        <v>136</v>
      </c>
      <c r="Y13" s="34" t="s">
        <v>297</v>
      </c>
    </row>
    <row r="14" spans="1:28" x14ac:dyDescent="0.25">
      <c r="A14" s="334"/>
      <c r="B14" s="12" t="s">
        <v>74</v>
      </c>
      <c r="C14" s="36">
        <v>0</v>
      </c>
      <c r="E14" s="46" t="s">
        <v>84</v>
      </c>
      <c r="F14" s="48">
        <f>'CS_1 Y carriage and table'!B45</f>
        <v>5.0000000000000001E-3</v>
      </c>
      <c r="G14" s="46" t="s">
        <v>84</v>
      </c>
      <c r="H14" s="48">
        <f>'CS_1 Y carriage and table'!B52</f>
        <v>0</v>
      </c>
      <c r="O14" t="s">
        <v>88</v>
      </c>
      <c r="P14" s="7" t="s">
        <v>89</v>
      </c>
      <c r="Q14" s="26" t="s">
        <v>90</v>
      </c>
      <c r="R14" s="26" t="s">
        <v>91</v>
      </c>
      <c r="T14" t="s">
        <v>88</v>
      </c>
      <c r="U14" s="7" t="s">
        <v>89</v>
      </c>
      <c r="V14" s="26" t="s">
        <v>90</v>
      </c>
      <c r="W14" s="26" t="s">
        <v>91</v>
      </c>
      <c r="Y14" t="s">
        <v>88</v>
      </c>
      <c r="Z14" s="7" t="s">
        <v>89</v>
      </c>
      <c r="AA14" s="26" t="s">
        <v>90</v>
      </c>
      <c r="AB14" s="26" t="s">
        <v>91</v>
      </c>
    </row>
    <row r="15" spans="1:28" x14ac:dyDescent="0.25">
      <c r="A15" s="334"/>
      <c r="B15" s="12" t="s">
        <v>75</v>
      </c>
      <c r="C15" s="36">
        <v>0</v>
      </c>
      <c r="E15" s="46" t="s">
        <v>112</v>
      </c>
      <c r="F15" s="48">
        <f>'CS_1 Y carriage and table'!B46</f>
        <v>5.0000000000000001E-3</v>
      </c>
      <c r="G15" s="46" t="s">
        <v>112</v>
      </c>
      <c r="H15" s="48">
        <f>'CS_1 Y carriage and table'!B53</f>
        <v>0</v>
      </c>
      <c r="N15" s="46" t="s">
        <v>84</v>
      </c>
      <c r="O15" s="50">
        <f>ABS(F14)</f>
        <v>5.0000000000000001E-3</v>
      </c>
      <c r="P15" s="50">
        <f>ABS(F17*O29)</f>
        <v>0</v>
      </c>
      <c r="Q15" s="50">
        <f>ABS(F18*P29)</f>
        <v>5.5555550930977223E-5</v>
      </c>
      <c r="R15" s="50">
        <f>ABS(F19*Q29)</f>
        <v>1.8518516976992375E-5</v>
      </c>
      <c r="S15" s="46" t="s">
        <v>84</v>
      </c>
      <c r="T15" s="49">
        <f t="array" ref="T15:W18">ABS(MMULT(T33:W36,O15:R18))</f>
        <v>5.0000000000000001E-3</v>
      </c>
      <c r="U15" s="49">
        <v>0</v>
      </c>
      <c r="V15" s="49">
        <v>5.5555550930977223E-5</v>
      </c>
      <c r="W15" s="49">
        <v>1.8518516976992375E-5</v>
      </c>
      <c r="X15" s="70" t="s">
        <v>84</v>
      </c>
      <c r="Y15" s="49">
        <f>F21+F28</f>
        <v>0</v>
      </c>
      <c r="Z15" s="29">
        <f>F24*O29</f>
        <v>0</v>
      </c>
      <c r="AA15" s="29">
        <f>F25*P29</f>
        <v>0</v>
      </c>
      <c r="AB15" s="29">
        <f>F26*Q29</f>
        <v>2.3742547156855264E-4</v>
      </c>
    </row>
    <row r="16" spans="1:28" ht="15" customHeight="1" x14ac:dyDescent="0.25">
      <c r="A16" s="60">
        <v>1</v>
      </c>
      <c r="B16" s="1" t="s">
        <v>76</v>
      </c>
      <c r="C16" s="13"/>
      <c r="E16" s="46" t="s">
        <v>113</v>
      </c>
      <c r="F16" s="48">
        <f>'CS_1 Y carriage and table'!B47</f>
        <v>5.0000000000000001E-3</v>
      </c>
      <c r="G16" s="46" t="s">
        <v>113</v>
      </c>
      <c r="H16" s="48">
        <f>'CS_1 Y carriage and table'!B54</f>
        <v>0</v>
      </c>
      <c r="N16" s="46" t="s">
        <v>112</v>
      </c>
      <c r="O16" s="50">
        <f t="shared" ref="O16:O17" si="0">ABS(F15)</f>
        <v>5.0000000000000001E-3</v>
      </c>
      <c r="P16" s="50">
        <f>ABS(F17*O30)</f>
        <v>0</v>
      </c>
      <c r="Q16" s="50">
        <f>ABS(F18*P30)</f>
        <v>0</v>
      </c>
      <c r="R16" s="50">
        <f>ABS(F19*Q30)</f>
        <v>3.7037030864197851E-2</v>
      </c>
      <c r="S16" s="46" t="s">
        <v>112</v>
      </c>
      <c r="T16" s="49">
        <v>5.0000000000000001E-3</v>
      </c>
      <c r="U16" s="49">
        <v>0</v>
      </c>
      <c r="V16" s="49">
        <v>0</v>
      </c>
      <c r="W16" s="49">
        <v>3.7037030864197851E-2</v>
      </c>
      <c r="X16" s="70" t="s">
        <v>112</v>
      </c>
      <c r="Y16" s="49">
        <f t="shared" ref="Y16:Y17" si="1">F22+F29</f>
        <v>-1.2640714584608486</v>
      </c>
      <c r="Z16" s="29">
        <f>F24*O30</f>
        <v>0</v>
      </c>
      <c r="AA16" s="29">
        <f>F25*P30</f>
        <v>0</v>
      </c>
      <c r="AB16" s="29">
        <f>F26*Q30</f>
        <v>-0.47485090352302001</v>
      </c>
    </row>
    <row r="17" spans="1:59" ht="15" customHeight="1" x14ac:dyDescent="0.25">
      <c r="A17" s="43">
        <f>IF(A16&gt;Naxes,0,1)</f>
        <v>1</v>
      </c>
      <c r="B17" s="2" t="s">
        <v>177</v>
      </c>
      <c r="C17" s="37">
        <v>0</v>
      </c>
      <c r="E17" s="4" t="s">
        <v>85</v>
      </c>
      <c r="F17" s="48">
        <f>'CS_1 Y carriage and table'!B48</f>
        <v>6.172839506172841E-5</v>
      </c>
      <c r="G17" s="4" t="s">
        <v>85</v>
      </c>
      <c r="H17" s="48">
        <f>'CS_1 Y carriage and table'!B55</f>
        <v>0</v>
      </c>
      <c r="N17" s="46" t="s">
        <v>113</v>
      </c>
      <c r="O17" s="50">
        <f t="shared" si="0"/>
        <v>5.0000000000000001E-3</v>
      </c>
      <c r="P17" s="50">
        <f>ABS(F17*O31)</f>
        <v>0</v>
      </c>
      <c r="Q17" s="50">
        <f>ABS(F18*P31)</f>
        <v>0.11111109259259376</v>
      </c>
      <c r="R17" s="50">
        <f>ABS(F19*Q31)</f>
        <v>0</v>
      </c>
      <c r="S17" s="46" t="s">
        <v>113</v>
      </c>
      <c r="T17" s="49">
        <v>5.0000000000000001E-3</v>
      </c>
      <c r="U17" s="49">
        <v>0</v>
      </c>
      <c r="V17" s="49">
        <v>0.11111109259259376</v>
      </c>
      <c r="W17" s="49">
        <v>0</v>
      </c>
      <c r="X17" s="70" t="s">
        <v>113</v>
      </c>
      <c r="Y17" s="49">
        <f t="shared" si="1"/>
        <v>0</v>
      </c>
      <c r="Z17" s="29">
        <f>F24*O31</f>
        <v>0</v>
      </c>
      <c r="AA17" s="29">
        <f>F25*P31</f>
        <v>0</v>
      </c>
      <c r="AB17" s="29">
        <f>F26*Q31</f>
        <v>0</v>
      </c>
    </row>
    <row r="18" spans="1:59" ht="15" customHeight="1" x14ac:dyDescent="0.25">
      <c r="A18" s="336" t="s">
        <v>127</v>
      </c>
      <c r="B18" s="2" t="s">
        <v>179</v>
      </c>
      <c r="C18" s="37">
        <v>0</v>
      </c>
      <c r="E18" s="4" t="s">
        <v>86</v>
      </c>
      <c r="F18" s="48">
        <f>'CS_1 Y carriage and table'!B49</f>
        <v>1.8518518518518558E-4</v>
      </c>
      <c r="G18" s="4" t="s">
        <v>86</v>
      </c>
      <c r="H18" s="48">
        <f>'CS_1 Y carriage and table'!B56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x14ac:dyDescent="0.25">
      <c r="A19" s="336"/>
      <c r="B19" s="2" t="s">
        <v>178</v>
      </c>
      <c r="C19" s="37">
        <v>0</v>
      </c>
      <c r="D19" s="335" t="s">
        <v>180</v>
      </c>
      <c r="E19" s="4" t="s">
        <v>87</v>
      </c>
      <c r="F19" s="48">
        <f>'CS_1 Y carriage and table'!B50</f>
        <v>6.172839506172841E-5</v>
      </c>
      <c r="G19" s="4" t="s">
        <v>87</v>
      </c>
      <c r="H19" s="48">
        <f>'CS_1 Y carriage and table'!B57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x14ac:dyDescent="0.25">
      <c r="A20" s="336"/>
      <c r="B20" s="2" t="s">
        <v>245</v>
      </c>
      <c r="C20" s="38">
        <v>0</v>
      </c>
      <c r="D20" s="335"/>
      <c r="E20" s="317" t="s">
        <v>303</v>
      </c>
      <c r="F20" s="317"/>
      <c r="G20" s="319" t="s">
        <v>251</v>
      </c>
      <c r="H20" s="319"/>
      <c r="I20" s="317" t="s">
        <v>306</v>
      </c>
      <c r="J20" s="317"/>
      <c r="K20" s="317" t="s">
        <v>304</v>
      </c>
      <c r="L20" s="317"/>
      <c r="M20" s="67"/>
      <c r="N20" s="34" t="s">
        <v>99</v>
      </c>
      <c r="O20" s="1"/>
      <c r="P20" s="67"/>
      <c r="Q20" s="1"/>
      <c r="R20" s="1"/>
      <c r="S20" s="34" t="s">
        <v>137</v>
      </c>
      <c r="X20" s="6"/>
      <c r="Y20" s="34" t="s">
        <v>296</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x14ac:dyDescent="0.25">
      <c r="A21" s="336"/>
      <c r="B21" s="2" t="s">
        <v>77</v>
      </c>
      <c r="C21" s="299">
        <f>Summary!L9+Summary!M9+Summary!K9</f>
        <v>500</v>
      </c>
      <c r="D21" s="335"/>
      <c r="E21" s="46" t="s">
        <v>84</v>
      </c>
      <c r="F21" s="49">
        <f>E37/IF(H21=0,1000000000000,H21)</f>
        <v>0</v>
      </c>
      <c r="G21" s="4" t="s">
        <v>117</v>
      </c>
      <c r="H21" s="113">
        <f>'CS_1 Y carriage and table'!B25</f>
        <v>2312800</v>
      </c>
      <c r="I21" s="4" t="s">
        <v>85</v>
      </c>
      <c r="J21" s="49">
        <f>A50*F64</f>
        <v>0</v>
      </c>
      <c r="K21" s="4" t="s">
        <v>85</v>
      </c>
      <c r="L21" s="139">
        <f t="array" ref="L21:L24">MMULT(MINVERSE(O33:R36),J21:J24)</f>
        <v>0</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x14ac:dyDescent="0.25">
      <c r="A22" s="337" t="s">
        <v>400</v>
      </c>
      <c r="B22" s="2" t="s">
        <v>107</v>
      </c>
      <c r="C22" s="37">
        <v>0</v>
      </c>
      <c r="D22" s="335"/>
      <c r="E22" s="46" t="s">
        <v>112</v>
      </c>
      <c r="F22" s="49">
        <f t="shared" ref="F22:F23" si="2">E38/IF(H22=0,1000000000000,H22)</f>
        <v>-4.7351883895109366E-2</v>
      </c>
      <c r="G22" s="4" t="s">
        <v>118</v>
      </c>
      <c r="H22" s="29">
        <f>'CS_1 Y carriage and table'!B26</f>
        <v>6335.5451847394152</v>
      </c>
      <c r="I22" s="4" t="s">
        <v>86</v>
      </c>
      <c r="J22" s="49">
        <f>A50*F65</f>
        <v>0</v>
      </c>
      <c r="K22" s="4" t="s">
        <v>86</v>
      </c>
      <c r="L22" s="139">
        <v>0</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0</v>
      </c>
      <c r="Z22" s="29">
        <f t="array" ref="Z22:Z25">MMULT(T33:W36,Z15:Z18)</f>
        <v>0</v>
      </c>
      <c r="AA22" s="29">
        <f t="array" ref="AA22:AA25">MMULT(T33:W36,AA15:AA18)</f>
        <v>0</v>
      </c>
      <c r="AB22" s="29">
        <f t="array" ref="AB22:AB25">MMULT(T33:W36,AB15:AB18)</f>
        <v>2.3742547156855264E-4</v>
      </c>
    </row>
    <row r="23" spans="1:59" ht="15" customHeight="1" x14ac:dyDescent="0.25">
      <c r="A23" s="338"/>
      <c r="B23" s="34" t="s">
        <v>78</v>
      </c>
      <c r="E23" s="46" t="s">
        <v>113</v>
      </c>
      <c r="F23" s="49">
        <f t="shared" si="2"/>
        <v>0</v>
      </c>
      <c r="G23" s="4" t="s">
        <v>119</v>
      </c>
      <c r="H23" s="29">
        <f>'CS_1 Y carriage and table'!B27</f>
        <v>2312800</v>
      </c>
      <c r="I23" s="4" t="s">
        <v>87</v>
      </c>
      <c r="J23" s="49">
        <f>A50*F66</f>
        <v>-7.7966057056224052E-4</v>
      </c>
      <c r="K23" s="4" t="s">
        <v>87</v>
      </c>
      <c r="L23" s="139">
        <v>-7.7966057056224052E-4</v>
      </c>
      <c r="N23" s="46" t="s">
        <v>112</v>
      </c>
      <c r="O23" s="50">
        <f>H15</f>
        <v>0</v>
      </c>
      <c r="P23" s="50">
        <f>H17*O30</f>
        <v>0</v>
      </c>
      <c r="Q23" s="50">
        <f>H18*P30</f>
        <v>0</v>
      </c>
      <c r="R23" s="50">
        <f>H19*Q30</f>
        <v>0</v>
      </c>
      <c r="S23" s="46" t="s">
        <v>112</v>
      </c>
      <c r="T23" s="50">
        <v>0</v>
      </c>
      <c r="U23" s="50">
        <v>0</v>
      </c>
      <c r="V23" s="50">
        <v>0</v>
      </c>
      <c r="W23" s="50">
        <v>0</v>
      </c>
      <c r="X23" s="70" t="s">
        <v>112</v>
      </c>
      <c r="Y23" s="29">
        <v>-1.2640714584608486</v>
      </c>
      <c r="Z23" s="29">
        <v>0</v>
      </c>
      <c r="AA23" s="29">
        <v>0</v>
      </c>
      <c r="AB23" s="29">
        <v>-0.47485090352302001</v>
      </c>
    </row>
    <row r="24" spans="1:59" ht="15" customHeight="1" x14ac:dyDescent="0.25">
      <c r="A24" s="338"/>
      <c r="B24" s="12" t="s">
        <v>79</v>
      </c>
      <c r="C24" s="31">
        <f>AC33+C20</f>
        <v>600</v>
      </c>
      <c r="E24" s="4" t="s">
        <v>85</v>
      </c>
      <c r="F24" s="49">
        <f>E41/IF(H24=0,1000000000000,H24)+L21</f>
        <v>0</v>
      </c>
      <c r="G24" s="46" t="s">
        <v>8</v>
      </c>
      <c r="H24" s="29">
        <f>'CS_1 Y carriage and table'!B29</f>
        <v>15309072466.666666</v>
      </c>
      <c r="I24" s="4" t="s">
        <v>305</v>
      </c>
      <c r="J24" s="29">
        <v>1</v>
      </c>
      <c r="K24" s="4" t="s">
        <v>305</v>
      </c>
      <c r="L24" s="139">
        <v>1</v>
      </c>
      <c r="N24" s="46" t="s">
        <v>113</v>
      </c>
      <c r="O24" s="50">
        <f>H16</f>
        <v>0</v>
      </c>
      <c r="P24" s="50">
        <f>H17*O31</f>
        <v>0</v>
      </c>
      <c r="Q24" s="50">
        <f>H18*P31</f>
        <v>0</v>
      </c>
      <c r="R24" s="50">
        <f>H19*Q31</f>
        <v>0</v>
      </c>
      <c r="S24" s="46" t="s">
        <v>113</v>
      </c>
      <c r="T24" s="50">
        <v>0</v>
      </c>
      <c r="U24" s="50">
        <v>0</v>
      </c>
      <c r="V24" s="50">
        <v>0</v>
      </c>
      <c r="W24" s="50">
        <v>0</v>
      </c>
      <c r="X24" s="70" t="s">
        <v>113</v>
      </c>
      <c r="Y24" s="29">
        <v>0</v>
      </c>
      <c r="Z24" s="29">
        <v>0</v>
      </c>
      <c r="AA24" s="29">
        <v>0</v>
      </c>
      <c r="AB24" s="29">
        <v>0</v>
      </c>
    </row>
    <row r="25" spans="1:59" ht="15" customHeight="1" x14ac:dyDescent="0.25">
      <c r="A25" s="338"/>
      <c r="B25" s="12" t="s">
        <v>80</v>
      </c>
      <c r="C25" s="31">
        <f>AC34+C21</f>
        <v>500</v>
      </c>
      <c r="E25" s="4" t="s">
        <v>86</v>
      </c>
      <c r="F25" s="49">
        <f t="shared" ref="F25:F26" si="3">E42/IF(H25=0,1000000000000,H25)+L22</f>
        <v>0</v>
      </c>
      <c r="G25" s="46" t="s">
        <v>120</v>
      </c>
      <c r="H25" s="29">
        <f>'CS_1 Y carriage and table'!B30</f>
        <v>2090406200</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x14ac:dyDescent="0.25">
      <c r="A26" s="338"/>
      <c r="B26" s="12" t="s">
        <v>81</v>
      </c>
      <c r="C26" s="31">
        <f>AC35+C22</f>
        <v>0</v>
      </c>
      <c r="E26" s="4" t="s">
        <v>87</v>
      </c>
      <c r="F26" s="49">
        <f t="shared" si="3"/>
        <v>-7.9141830444141078E-4</v>
      </c>
      <c r="G26" s="46" t="s">
        <v>116</v>
      </c>
      <c r="H26" s="29">
        <f>'CS_1 Y carriage and table'!B31</f>
        <v>15309072466.666666</v>
      </c>
      <c r="K26" s="46"/>
      <c r="L26" s="46"/>
      <c r="S26" s="33"/>
      <c r="V26" s="5"/>
      <c r="AA26" s="5"/>
      <c r="AG26" s="5"/>
      <c r="AU26" s="5" t="s">
        <v>67</v>
      </c>
      <c r="AZ26" s="5" t="s">
        <v>92</v>
      </c>
      <c r="BE26" s="5" t="s">
        <v>97</v>
      </c>
    </row>
    <row r="27" spans="1:59" x14ac:dyDescent="0.25">
      <c r="A27" s="338"/>
      <c r="B27" s="69" t="s">
        <v>184</v>
      </c>
      <c r="E27" s="94" t="s">
        <v>294</v>
      </c>
      <c r="G27" s="327" t="s">
        <v>293</v>
      </c>
      <c r="H27" s="328"/>
      <c r="I27" s="328"/>
      <c r="J27" s="328"/>
      <c r="K27" s="328"/>
      <c r="L27" s="329"/>
      <c r="M27" s="93" t="s">
        <v>295</v>
      </c>
      <c r="N27" s="84" t="s">
        <v>248</v>
      </c>
      <c r="O27" s="81"/>
      <c r="P27" s="81"/>
      <c r="Q27" s="81"/>
      <c r="R27" s="81"/>
      <c r="S27" s="81"/>
      <c r="AA27" s="8"/>
      <c r="AE27" s="45" t="s">
        <v>227</v>
      </c>
      <c r="AF27" s="91">
        <v>1E-3</v>
      </c>
      <c r="AG27" s="45"/>
      <c r="AH27" s="45"/>
      <c r="AI27" s="45"/>
      <c r="AJ27" s="45" t="s">
        <v>93</v>
      </c>
      <c r="AK27" s="92">
        <v>1E-3</v>
      </c>
      <c r="AL27" s="7"/>
      <c r="AM27" s="7"/>
      <c r="AN27" s="45"/>
      <c r="AO27" s="45" t="s">
        <v>226</v>
      </c>
      <c r="AP27" s="91">
        <v>1E-3</v>
      </c>
      <c r="AU27" s="7" t="s">
        <v>0</v>
      </c>
      <c r="AV27" s="7" t="s">
        <v>1</v>
      </c>
      <c r="AW27" s="7" t="s">
        <v>2</v>
      </c>
      <c r="AZ27" s="7" t="s">
        <v>0</v>
      </c>
      <c r="BA27" s="7" t="s">
        <v>1</v>
      </c>
      <c r="BB27" s="7" t="s">
        <v>2</v>
      </c>
      <c r="BE27" s="7" t="s">
        <v>0</v>
      </c>
      <c r="BF27" s="7" t="s">
        <v>1</v>
      </c>
      <c r="BG27" s="7" t="s">
        <v>2</v>
      </c>
    </row>
    <row r="28" spans="1:59" ht="17.100000000000001" customHeight="1" x14ac:dyDescent="0.25">
      <c r="A28" s="338"/>
      <c r="B28" s="41" t="s">
        <v>100</v>
      </c>
      <c r="C28" s="42">
        <v>0</v>
      </c>
      <c r="E28" s="46" t="s">
        <v>84</v>
      </c>
      <c r="F28" s="49">
        <f t="array" ref="F28:F33">MMULT(G28:L33,M28:M33)</f>
        <v>0</v>
      </c>
      <c r="G28" s="132">
        <f>'CS_1 Y carriage and table'!G5</f>
        <v>1.8170805572380375E-6</v>
      </c>
      <c r="H28" s="132">
        <f>'CS_1 Y carriage and table'!H5</f>
        <v>0</v>
      </c>
      <c r="I28" s="132">
        <f>'CS_1 Y carriage and table'!I5</f>
        <v>0</v>
      </c>
      <c r="J28" s="132">
        <f>'CS_1 Y carriage and table'!J5</f>
        <v>0</v>
      </c>
      <c r="K28" s="132">
        <f>'CS_1 Y carriage and table'!K5</f>
        <v>0</v>
      </c>
      <c r="L28" s="132">
        <f>'CS_1 Y carriage and table'!L5</f>
        <v>0</v>
      </c>
      <c r="M28" s="29">
        <f>C28</f>
        <v>0</v>
      </c>
      <c r="N28" s="81"/>
      <c r="O28" s="85" t="s">
        <v>4</v>
      </c>
      <c r="P28" s="86" t="s">
        <v>5</v>
      </c>
      <c r="Q28" s="86" t="s">
        <v>6</v>
      </c>
      <c r="R28" s="86"/>
      <c r="S28" s="86"/>
      <c r="T28" s="26"/>
      <c r="U28" s="26"/>
      <c r="V28" s="26"/>
      <c r="W28" s="26"/>
      <c r="X28" s="26"/>
      <c r="Y28" s="26"/>
      <c r="Z28" s="26"/>
      <c r="AA28" s="26"/>
      <c r="AB28" t="s">
        <v>66</v>
      </c>
      <c r="AC28" s="29">
        <f>C13</f>
        <v>600</v>
      </c>
      <c r="AD28" s="29"/>
      <c r="AE28" s="78">
        <v>1</v>
      </c>
      <c r="AF28" s="49">
        <v>0</v>
      </c>
      <c r="AG28" s="49">
        <v>0</v>
      </c>
      <c r="AH28" s="79">
        <v>0</v>
      </c>
      <c r="AI28" s="80"/>
      <c r="AJ28" s="49">
        <f>COS(AK27)</f>
        <v>0.99999950000004167</v>
      </c>
      <c r="AK28" s="49">
        <v>0</v>
      </c>
      <c r="AL28" s="49">
        <f>-AJ30</f>
        <v>9.9999983333334168E-4</v>
      </c>
      <c r="AM28" s="49">
        <v>0</v>
      </c>
      <c r="AN28" s="80"/>
      <c r="AO28" s="49">
        <f>COS(AP27)</f>
        <v>0.99999950000004167</v>
      </c>
      <c r="AP28" s="49">
        <f>-AO29</f>
        <v>-9.9999983333334168E-4</v>
      </c>
      <c r="AQ28" s="49">
        <v>0</v>
      </c>
      <c r="AR28" s="49">
        <v>0</v>
      </c>
      <c r="AS28" s="80"/>
      <c r="AT28" s="29" t="s">
        <v>63</v>
      </c>
      <c r="AU28" s="49">
        <f t="array" ref="AU28:AU31">MMULT(AE28:AH31,$AC28:$AC31)</f>
        <v>600</v>
      </c>
      <c r="AV28" s="49">
        <f>AU28-$AC28</f>
        <v>0</v>
      </c>
      <c r="AW28" s="49">
        <f>AV28/AF27</f>
        <v>0</v>
      </c>
      <c r="AX28" s="80"/>
      <c r="AY28" s="29" t="s">
        <v>63</v>
      </c>
      <c r="AZ28" s="49">
        <f t="array" ref="AZ28:AZ31">MMULT(AJ28:AM31,$AC28:$AC31)</f>
        <v>599.99970000002497</v>
      </c>
      <c r="BA28" s="49">
        <f>AZ28-$AC28</f>
        <v>-2.9999997502727638E-4</v>
      </c>
      <c r="BB28" s="49">
        <f>BA28/AK27</f>
        <v>-0.29999997502727638</v>
      </c>
      <c r="BC28" s="80"/>
      <c r="BD28" s="29" t="s">
        <v>63</v>
      </c>
      <c r="BE28" s="49">
        <f t="array" ref="BE28:BE31">MMULT(AO28:AR31,$AC28:$AC31)</f>
        <v>599.99970000002497</v>
      </c>
      <c r="BF28" s="49">
        <f>BE28-$AC28</f>
        <v>-2.9999997502727638E-4</v>
      </c>
      <c r="BG28" s="49">
        <f>BF28/AP27</f>
        <v>-0.29999997502727638</v>
      </c>
    </row>
    <row r="29" spans="1:59" x14ac:dyDescent="0.25">
      <c r="A29" s="338"/>
      <c r="B29" s="41" t="s">
        <v>101</v>
      </c>
      <c r="C29" s="42">
        <v>-300</v>
      </c>
      <c r="E29" s="46" t="s">
        <v>112</v>
      </c>
      <c r="F29" s="49">
        <v>-1.2167195745657391</v>
      </c>
      <c r="G29" s="132">
        <f>'CS_1 Y carriage and table'!G6</f>
        <v>0</v>
      </c>
      <c r="H29" s="132">
        <f>'CS_1 Y carriage and table'!H6</f>
        <v>4.0557319152191304E-3</v>
      </c>
      <c r="I29" s="132">
        <f>'CS_1 Y carriage and table'!I6</f>
        <v>0</v>
      </c>
      <c r="J29" s="132">
        <f>'CS_1 Y carriage and table'!J6</f>
        <v>0</v>
      </c>
      <c r="K29" s="132">
        <f>'CS_1 Y carriage and table'!K6</f>
        <v>0</v>
      </c>
      <c r="L29" s="132">
        <f>'CS_1 Y carriage and table'!L6</f>
        <v>1.0139329788047827E-5</v>
      </c>
      <c r="M29" s="29">
        <f t="shared" ref="M29:M30" si="4">C29</f>
        <v>-300</v>
      </c>
      <c r="N29" s="87" t="s">
        <v>84</v>
      </c>
      <c r="O29" s="88">
        <f>AW28</f>
        <v>0</v>
      </c>
      <c r="P29" s="88">
        <f>BB28</f>
        <v>-0.29999997502727638</v>
      </c>
      <c r="Q29" s="88">
        <f>BG28</f>
        <v>-0.29999997502727638</v>
      </c>
      <c r="R29" s="81"/>
      <c r="S29" s="81"/>
      <c r="AB29" t="s">
        <v>71</v>
      </c>
      <c r="AC29" s="29">
        <f>C14</f>
        <v>0</v>
      </c>
      <c r="AD29" s="29"/>
      <c r="AE29" s="78">
        <v>0</v>
      </c>
      <c r="AF29" s="49">
        <f>COS(AF27)</f>
        <v>0.99999950000004167</v>
      </c>
      <c r="AG29" s="49">
        <f>-SIN(AF27)</f>
        <v>-9.9999983333334168E-4</v>
      </c>
      <c r="AH29" s="79">
        <v>0</v>
      </c>
      <c r="AI29" s="80"/>
      <c r="AJ29" s="49">
        <v>0</v>
      </c>
      <c r="AK29" s="49">
        <v>1</v>
      </c>
      <c r="AL29" s="49">
        <v>0</v>
      </c>
      <c r="AM29" s="49">
        <v>0</v>
      </c>
      <c r="AN29" s="80"/>
      <c r="AO29" s="49">
        <f>SIN(AP27)</f>
        <v>9.9999983333334168E-4</v>
      </c>
      <c r="AP29" s="49">
        <f>AO28</f>
        <v>0.99999950000004167</v>
      </c>
      <c r="AQ29" s="49">
        <v>0</v>
      </c>
      <c r="AR29" s="49">
        <v>0</v>
      </c>
      <c r="AS29" s="80"/>
      <c r="AT29" s="29" t="s">
        <v>64</v>
      </c>
      <c r="AU29" s="49">
        <v>0</v>
      </c>
      <c r="AV29" s="49">
        <f>AU29-$AC29</f>
        <v>0</v>
      </c>
      <c r="AW29" s="49">
        <f>AV29/AF27</f>
        <v>0</v>
      </c>
      <c r="AX29" s="80"/>
      <c r="AY29" s="29" t="s">
        <v>64</v>
      </c>
      <c r="AZ29" s="49">
        <v>0</v>
      </c>
      <c r="BA29" s="49">
        <f>AZ29-$AC29</f>
        <v>0</v>
      </c>
      <c r="BB29" s="49">
        <f>BA29/AK27</f>
        <v>0</v>
      </c>
      <c r="BC29" s="80"/>
      <c r="BD29" s="29" t="s">
        <v>64</v>
      </c>
      <c r="BE29" s="49">
        <v>0.59999990000000503</v>
      </c>
      <c r="BF29" s="49">
        <f>BE29-$AC29</f>
        <v>0.59999990000000503</v>
      </c>
      <c r="BG29" s="49">
        <f>BF29/AP27</f>
        <v>599.99990000000503</v>
      </c>
    </row>
    <row r="30" spans="1:59" x14ac:dyDescent="0.25">
      <c r="A30" s="338"/>
      <c r="B30" s="41" t="s">
        <v>102</v>
      </c>
      <c r="C30" s="42">
        <v>0</v>
      </c>
      <c r="E30" s="46" t="s">
        <v>113</v>
      </c>
      <c r="F30" s="49">
        <v>0</v>
      </c>
      <c r="G30" s="132">
        <f>'CS_1 Y carriage and table'!G7</f>
        <v>0</v>
      </c>
      <c r="H30" s="132">
        <f>'CS_1 Y carriage and table'!H7</f>
        <v>0</v>
      </c>
      <c r="I30" s="132">
        <f>'CS_1 Y carriage and table'!I7</f>
        <v>2.6165960024227742E-6</v>
      </c>
      <c r="J30" s="132">
        <f>'CS_1 Y carriage and table'!J7</f>
        <v>0</v>
      </c>
      <c r="K30" s="132">
        <f>'CS_1 Y carriage and table'!K7</f>
        <v>-6.5414900060569352E-9</v>
      </c>
      <c r="L30" s="132">
        <f>'CS_1 Y carriage and table'!L7</f>
        <v>0</v>
      </c>
      <c r="M30" s="29">
        <f t="shared" si="4"/>
        <v>0</v>
      </c>
      <c r="N30" s="87" t="s">
        <v>112</v>
      </c>
      <c r="O30" s="88">
        <f t="shared" ref="O30:O31" si="5">AW29</f>
        <v>0</v>
      </c>
      <c r="P30" s="88">
        <f t="shared" ref="P30:P31" si="6">BB29</f>
        <v>0</v>
      </c>
      <c r="Q30" s="88">
        <f t="shared" ref="Q30:Q31" si="7">BG29</f>
        <v>599.99990000000503</v>
      </c>
      <c r="R30" s="81"/>
      <c r="S30" s="81"/>
      <c r="AB30" t="s">
        <v>72</v>
      </c>
      <c r="AC30" s="29">
        <f>C15</f>
        <v>0</v>
      </c>
      <c r="AD30" s="29"/>
      <c r="AE30" s="78">
        <v>0</v>
      </c>
      <c r="AF30" s="49">
        <f>-AG29</f>
        <v>9.9999983333334168E-4</v>
      </c>
      <c r="AG30" s="49">
        <f>AF29</f>
        <v>0.99999950000004167</v>
      </c>
      <c r="AH30" s="79">
        <v>0</v>
      </c>
      <c r="AI30" s="80"/>
      <c r="AJ30" s="49">
        <f>-SIN(AK27)</f>
        <v>-9.9999983333334168E-4</v>
      </c>
      <c r="AK30" s="49">
        <v>0</v>
      </c>
      <c r="AL30" s="49">
        <f>COS(AK27)</f>
        <v>0.99999950000004167</v>
      </c>
      <c r="AM30" s="49">
        <v>0</v>
      </c>
      <c r="AN30" s="80"/>
      <c r="AO30" s="49">
        <v>0</v>
      </c>
      <c r="AP30" s="49">
        <v>0</v>
      </c>
      <c r="AQ30" s="49">
        <v>1</v>
      </c>
      <c r="AR30" s="49">
        <v>0</v>
      </c>
      <c r="AS30" s="80"/>
      <c r="AT30" s="29" t="s">
        <v>65</v>
      </c>
      <c r="AU30" s="49">
        <v>0</v>
      </c>
      <c r="AV30" s="49">
        <f>AU30-$AC30</f>
        <v>0</v>
      </c>
      <c r="AW30" s="49">
        <f>AV30/AF27</f>
        <v>0</v>
      </c>
      <c r="AX30" s="80"/>
      <c r="AY30" s="29" t="s">
        <v>65</v>
      </c>
      <c r="AZ30" s="49">
        <v>-0.59999990000000503</v>
      </c>
      <c r="BA30" s="49">
        <f>AZ30-$AC30</f>
        <v>-0.59999990000000503</v>
      </c>
      <c r="BB30" s="49">
        <f>BA30/AK27</f>
        <v>-599.99990000000503</v>
      </c>
      <c r="BC30" s="80"/>
      <c r="BD30" s="29" t="s">
        <v>65</v>
      </c>
      <c r="BE30" s="49">
        <v>0</v>
      </c>
      <c r="BF30" s="49">
        <f>BE30-$AC30</f>
        <v>0</v>
      </c>
      <c r="BG30" s="49">
        <f>BF30/AP27</f>
        <v>0</v>
      </c>
    </row>
    <row r="31" spans="1:59" ht="15" customHeight="1" x14ac:dyDescent="0.25">
      <c r="A31" s="338"/>
      <c r="B31" s="41" t="s">
        <v>108</v>
      </c>
      <c r="C31" s="43">
        <v>1</v>
      </c>
      <c r="E31" s="4" t="s">
        <v>85</v>
      </c>
      <c r="F31" s="49">
        <v>0</v>
      </c>
      <c r="G31" s="132">
        <f>'CS_1 Y carriage and table'!G8</f>
        <v>0</v>
      </c>
      <c r="H31" s="132">
        <f>'CS_1 Y carriage and table'!H8</f>
        <v>0</v>
      </c>
      <c r="I31" s="132">
        <f>'CS_1 Y carriage and table'!I8</f>
        <v>0</v>
      </c>
      <c r="J31" s="132">
        <f>'CS_1 Y carriage and table'!J8</f>
        <v>1.4812313197889891E-9</v>
      </c>
      <c r="K31" s="132">
        <f>'CS_1 Y carriage and table'!K8</f>
        <v>0</v>
      </c>
      <c r="L31" s="132">
        <f>'CS_1 Y carriage and table'!L8</f>
        <v>0</v>
      </c>
      <c r="M31" s="29">
        <f>C32</f>
        <v>0</v>
      </c>
      <c r="N31" s="87" t="s">
        <v>113</v>
      </c>
      <c r="O31" s="88">
        <f t="shared" si="5"/>
        <v>0</v>
      </c>
      <c r="P31" s="88">
        <f t="shared" si="6"/>
        <v>-599.99990000000503</v>
      </c>
      <c r="Q31" s="88">
        <f t="shared" si="7"/>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x14ac:dyDescent="0.25">
      <c r="A32" s="338"/>
      <c r="B32" s="41" t="s">
        <v>103</v>
      </c>
      <c r="C32" s="42">
        <v>0</v>
      </c>
      <c r="E32" s="4" t="s">
        <v>86</v>
      </c>
      <c r="F32" s="49">
        <v>0</v>
      </c>
      <c r="G32" s="132">
        <f>'CS_1 Y carriage and table'!G9</f>
        <v>0</v>
      </c>
      <c r="H32" s="132">
        <f>'CS_1 Y carriage and table'!H9</f>
        <v>0</v>
      </c>
      <c r="I32" s="132">
        <f>'CS_1 Y carriage and table'!I9</f>
        <v>-6.5414900060569352E-9</v>
      </c>
      <c r="J32" s="132">
        <f>'CS_1 Y carriage and table'!J9</f>
        <v>0</v>
      </c>
      <c r="K32" s="132">
        <f>'CS_1 Y carriage and table'!K9</f>
        <v>2.1804966686856448E-11</v>
      </c>
      <c r="L32" s="132">
        <f>'CS_1 Y carriage and table'!L9</f>
        <v>0</v>
      </c>
      <c r="M32" s="29">
        <f>C33</f>
        <v>0</v>
      </c>
      <c r="O32" s="3" t="s">
        <v>82</v>
      </c>
      <c r="T32" s="3" t="s">
        <v>83</v>
      </c>
      <c r="AE32" t="s">
        <v>95</v>
      </c>
      <c r="AJ32" t="s">
        <v>94</v>
      </c>
      <c r="AO32" t="s">
        <v>96</v>
      </c>
    </row>
    <row r="33" spans="1:71" ht="15" customHeight="1" x14ac:dyDescent="0.25">
      <c r="A33" s="338"/>
      <c r="B33" s="41" t="s">
        <v>104</v>
      </c>
      <c r="C33" s="42">
        <v>0</v>
      </c>
      <c r="E33" s="4" t="s">
        <v>87</v>
      </c>
      <c r="F33" s="49">
        <v>-3.041798936414348E-3</v>
      </c>
      <c r="G33" s="132">
        <f>'CS_1 Y carriage and table'!G10</f>
        <v>0</v>
      </c>
      <c r="H33" s="132">
        <f>'CS_1 Y carriage and table'!H10</f>
        <v>1.0139329788047827E-5</v>
      </c>
      <c r="I33" s="132">
        <f>'CS_1 Y carriage and table'!I10</f>
        <v>0</v>
      </c>
      <c r="J33" s="132">
        <f>'CS_1 Y carriage and table'!J10</f>
        <v>0</v>
      </c>
      <c r="K33" s="132">
        <f>'CS_1 Y carriage and table'!K10</f>
        <v>0</v>
      </c>
      <c r="L33" s="132">
        <f>'CS_1 Y carriage and table'!L10</f>
        <v>3.3797765960159422E-8</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600</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x14ac:dyDescent="0.25">
      <c r="A34" s="338"/>
      <c r="B34" s="41" t="s">
        <v>105</v>
      </c>
      <c r="C34" s="42">
        <v>0</v>
      </c>
      <c r="J34" s="125"/>
      <c r="K34" s="125"/>
      <c r="L34" s="125"/>
      <c r="M34" s="8"/>
      <c r="O34" s="31">
        <v>0</v>
      </c>
      <c r="P34" s="31">
        <v>1</v>
      </c>
      <c r="Q34" s="31">
        <v>0</v>
      </c>
      <c r="R34" s="31">
        <v>0</v>
      </c>
      <c r="S34" s="11"/>
      <c r="T34" s="31">
        <v>0</v>
      </c>
      <c r="U34" s="31">
        <v>1</v>
      </c>
      <c r="V34" s="31">
        <v>0</v>
      </c>
      <c r="W34" s="31">
        <v>0</v>
      </c>
      <c r="X34" s="31"/>
      <c r="Y34" s="31"/>
      <c r="Z34" s="31"/>
      <c r="AA34" s="31"/>
      <c r="AB34" t="s">
        <v>69</v>
      </c>
      <c r="AC34" s="29">
        <v>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x14ac:dyDescent="0.25">
      <c r="A35" s="338"/>
      <c r="B35" s="41" t="s">
        <v>108</v>
      </c>
      <c r="C35" s="43">
        <v>1</v>
      </c>
      <c r="J35" s="125"/>
      <c r="K35" s="125"/>
      <c r="L35" s="125"/>
      <c r="M35" s="125"/>
      <c r="O35" s="31">
        <v>0</v>
      </c>
      <c r="P35" s="31">
        <v>0</v>
      </c>
      <c r="Q35" s="31">
        <v>1</v>
      </c>
      <c r="R35" s="31">
        <v>0</v>
      </c>
      <c r="S35" s="11"/>
      <c r="T35" s="31">
        <v>0</v>
      </c>
      <c r="U35" s="31">
        <v>0</v>
      </c>
      <c r="V35" s="31">
        <v>1</v>
      </c>
      <c r="W35" s="31">
        <v>0</v>
      </c>
      <c r="X35" s="31"/>
      <c r="Y35" s="31"/>
      <c r="Z35" s="31"/>
      <c r="AA35" s="31"/>
      <c r="AB35" t="s">
        <v>70</v>
      </c>
      <c r="AC35" s="29">
        <v>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2" customFormat="1" ht="15.95" customHeight="1" x14ac:dyDescent="0.25">
      <c r="A36" s="338"/>
      <c r="B36" s="159" t="s">
        <v>334</v>
      </c>
      <c r="C36" s="40"/>
      <c r="D36" s="103" t="s">
        <v>246</v>
      </c>
      <c r="E36" s="40"/>
      <c r="F36"/>
      <c r="G36"/>
      <c r="H36" s="121"/>
      <c r="I36" s="121"/>
      <c r="J36" s="121"/>
      <c r="K36" s="121"/>
      <c r="L36" s="121"/>
      <c r="M36" s="121"/>
      <c r="O36" s="123">
        <v>0</v>
      </c>
      <c r="P36" s="123">
        <v>0</v>
      </c>
      <c r="Q36" s="123">
        <v>0</v>
      </c>
      <c r="R36" s="123">
        <v>1</v>
      </c>
      <c r="S36" s="124"/>
      <c r="T36" s="123">
        <v>0</v>
      </c>
      <c r="U36" s="123">
        <v>0</v>
      </c>
      <c r="V36" s="123">
        <v>0</v>
      </c>
      <c r="W36" s="123">
        <v>1</v>
      </c>
      <c r="X36" s="123"/>
      <c r="Y36" s="123"/>
      <c r="Z36" s="123"/>
      <c r="AA36" s="123"/>
      <c r="AC36" s="32">
        <v>1</v>
      </c>
      <c r="AD36" s="32"/>
      <c r="AE36" s="32">
        <v>0</v>
      </c>
      <c r="AF36" s="32">
        <v>0</v>
      </c>
      <c r="AG36" s="32">
        <v>0</v>
      </c>
      <c r="AH36" s="32">
        <v>1</v>
      </c>
      <c r="AJ36" s="32">
        <v>0</v>
      </c>
      <c r="AK36" s="32">
        <v>0</v>
      </c>
      <c r="AL36" s="32">
        <v>0</v>
      </c>
      <c r="AM36" s="32">
        <v>1</v>
      </c>
      <c r="AO36" s="32">
        <v>0</v>
      </c>
      <c r="AP36" s="32">
        <v>0</v>
      </c>
      <c r="AQ36" s="32">
        <v>0</v>
      </c>
      <c r="AR36" s="32">
        <v>1</v>
      </c>
    </row>
    <row r="37" spans="1:71" s="122" customFormat="1" ht="15.95" customHeight="1" x14ac:dyDescent="0.25">
      <c r="A37" s="338"/>
      <c r="B37" s="41" t="s">
        <v>100</v>
      </c>
      <c r="C37" s="42">
        <v>0</v>
      </c>
      <c r="D37" s="41" t="s">
        <v>100</v>
      </c>
      <c r="E37" s="43">
        <f>C28+C37</f>
        <v>0</v>
      </c>
      <c r="H37" s="121"/>
      <c r="I37" s="121"/>
      <c r="J37" s="121"/>
      <c r="K37" s="121"/>
      <c r="L37" s="121"/>
      <c r="M37" s="121"/>
      <c r="O37" s="126"/>
      <c r="P37" s="126"/>
      <c r="Q37" s="126"/>
      <c r="R37" s="126"/>
      <c r="S37" s="124"/>
      <c r="T37" s="126"/>
      <c r="U37" s="126"/>
      <c r="V37" s="126"/>
      <c r="W37" s="126"/>
      <c r="X37" s="126"/>
      <c r="Y37" s="126"/>
      <c r="Z37" s="126"/>
      <c r="AA37" s="126"/>
      <c r="AB37" s="127"/>
      <c r="AC37" s="124"/>
      <c r="AD37" s="124"/>
      <c r="AE37" s="124"/>
      <c r="AF37" s="124"/>
      <c r="AG37" s="124"/>
      <c r="AH37" s="124"/>
      <c r="AI37" s="127"/>
      <c r="AJ37" s="124"/>
      <c r="AK37" s="124"/>
      <c r="AL37" s="124"/>
      <c r="AM37" s="124"/>
      <c r="AN37" s="127"/>
      <c r="AO37" s="124"/>
      <c r="AP37" s="124"/>
      <c r="AQ37" s="124"/>
      <c r="AR37" s="124"/>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row>
    <row r="38" spans="1:71" s="122" customFormat="1" ht="15.95" customHeight="1" x14ac:dyDescent="0.25">
      <c r="A38" s="338"/>
      <c r="B38" s="41" t="s">
        <v>101</v>
      </c>
      <c r="C38" s="42">
        <v>0</v>
      </c>
      <c r="D38" s="41" t="s">
        <v>101</v>
      </c>
      <c r="E38" s="43">
        <f>C29+C38</f>
        <v>-300</v>
      </c>
      <c r="H38" s="121"/>
      <c r="I38" s="121"/>
      <c r="J38" s="121"/>
      <c r="K38" s="121"/>
      <c r="L38" s="121"/>
      <c r="M38" s="121"/>
      <c r="O38" s="126"/>
      <c r="P38" s="126"/>
      <c r="Q38" s="126"/>
      <c r="R38" s="126"/>
      <c r="S38" s="124"/>
      <c r="T38" s="126"/>
      <c r="U38" s="126"/>
      <c r="V38" s="126"/>
      <c r="W38" s="126"/>
      <c r="X38" s="126"/>
      <c r="Y38" s="126"/>
      <c r="Z38" s="126"/>
      <c r="AA38" s="126"/>
      <c r="AB38" s="127"/>
      <c r="AC38" s="124"/>
      <c r="AD38" s="124"/>
      <c r="AE38" s="124"/>
      <c r="AF38" s="124"/>
      <c r="AG38" s="124"/>
      <c r="AH38" s="124"/>
      <c r="AI38" s="127"/>
      <c r="AJ38" s="124"/>
      <c r="AK38" s="124"/>
      <c r="AL38" s="124"/>
      <c r="AM38" s="124"/>
      <c r="AN38" s="127"/>
      <c r="AO38" s="124"/>
      <c r="AP38" s="124"/>
      <c r="AQ38" s="124"/>
      <c r="AR38" s="124"/>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row>
    <row r="39" spans="1:71" s="122" customFormat="1" ht="15.95" customHeight="1" x14ac:dyDescent="0.25">
      <c r="A39" s="338"/>
      <c r="B39" s="41" t="s">
        <v>102</v>
      </c>
      <c r="C39" s="42">
        <v>0</v>
      </c>
      <c r="D39" s="41" t="s">
        <v>102</v>
      </c>
      <c r="E39" s="43">
        <f>C30+C39</f>
        <v>0</v>
      </c>
      <c r="H39" s="121"/>
      <c r="I39" s="121"/>
      <c r="J39" s="121"/>
      <c r="K39" s="121"/>
      <c r="L39" s="121"/>
      <c r="M39" s="121"/>
      <c r="O39" s="126"/>
      <c r="P39" s="126"/>
      <c r="Q39" s="126"/>
      <c r="R39" s="126"/>
      <c r="S39" s="124"/>
      <c r="T39" s="126"/>
      <c r="U39" s="126"/>
      <c r="V39" s="126"/>
      <c r="W39" s="126"/>
      <c r="X39" s="126"/>
      <c r="Y39" s="126"/>
      <c r="Z39" s="126"/>
      <c r="AA39" s="126"/>
      <c r="AB39" s="127"/>
      <c r="AC39" s="124"/>
      <c r="AD39" s="124"/>
      <c r="AE39" s="124"/>
      <c r="AF39" s="124"/>
      <c r="AG39" s="124"/>
      <c r="AH39" s="124"/>
      <c r="AI39" s="127"/>
      <c r="AJ39" s="124"/>
      <c r="AK39" s="124"/>
      <c r="AL39" s="124"/>
      <c r="AM39" s="124"/>
      <c r="AN39" s="127"/>
      <c r="AO39" s="124"/>
      <c r="AP39" s="124"/>
      <c r="AQ39" s="124"/>
      <c r="AR39" s="124"/>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row>
    <row r="40" spans="1:71" s="122" customFormat="1" ht="15.95" customHeight="1" x14ac:dyDescent="0.25">
      <c r="A40" s="338"/>
      <c r="B40" s="41" t="s">
        <v>108</v>
      </c>
      <c r="C40" s="43">
        <v>1</v>
      </c>
      <c r="D40" s="41" t="s">
        <v>108</v>
      </c>
      <c r="E40" s="43">
        <v>1</v>
      </c>
      <c r="H40" s="121"/>
      <c r="I40" s="121"/>
      <c r="J40" s="121"/>
      <c r="K40" s="121"/>
      <c r="L40" s="121"/>
      <c r="M40" s="121"/>
      <c r="O40" s="126"/>
      <c r="P40" s="126"/>
      <c r="Q40" s="126"/>
      <c r="R40" s="126"/>
      <c r="S40" s="124"/>
      <c r="T40" s="126"/>
      <c r="U40" s="126"/>
      <c r="V40" s="126"/>
      <c r="W40" s="126"/>
      <c r="X40" s="126"/>
      <c r="Y40" s="126"/>
      <c r="Z40" s="126"/>
      <c r="AA40" s="126"/>
      <c r="AB40" s="127"/>
      <c r="AC40" s="124"/>
      <c r="AD40" s="124"/>
      <c r="AE40" s="124"/>
      <c r="AF40" s="124"/>
      <c r="AG40" s="124"/>
      <c r="AH40" s="124"/>
      <c r="AI40" s="127"/>
      <c r="AJ40" s="124"/>
      <c r="AK40" s="124"/>
      <c r="AL40" s="124"/>
      <c r="AM40" s="124"/>
      <c r="AN40" s="127"/>
      <c r="AO40" s="124"/>
      <c r="AP40" s="124"/>
      <c r="AQ40" s="124"/>
      <c r="AR40" s="124"/>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row>
    <row r="41" spans="1:71" s="122" customFormat="1" ht="15.95" customHeight="1" x14ac:dyDescent="0.25">
      <c r="A41" s="338"/>
      <c r="B41" s="41" t="s">
        <v>103</v>
      </c>
      <c r="C41" s="42">
        <v>0</v>
      </c>
      <c r="D41" s="41" t="s">
        <v>103</v>
      </c>
      <c r="E41" s="43">
        <f>C32+C41+C30*C14-C29*C15</f>
        <v>0</v>
      </c>
      <c r="F41" s="41"/>
      <c r="G41" s="125"/>
      <c r="H41" s="121"/>
      <c r="I41" s="121"/>
      <c r="J41" s="121"/>
      <c r="K41" s="121"/>
      <c r="L41" s="121"/>
      <c r="M41" s="121"/>
      <c r="O41" s="126"/>
      <c r="P41" s="126"/>
      <c r="Q41" s="126"/>
      <c r="R41" s="126"/>
      <c r="S41" s="124"/>
      <c r="T41" s="126"/>
      <c r="U41" s="126"/>
      <c r="V41" s="126"/>
      <c r="W41" s="126"/>
      <c r="X41" s="126"/>
      <c r="Y41" s="126"/>
      <c r="Z41" s="126"/>
      <c r="AA41" s="126"/>
      <c r="AB41" s="127"/>
      <c r="AC41" s="124"/>
      <c r="AD41" s="124"/>
      <c r="AE41" s="124"/>
      <c r="AF41" s="124"/>
      <c r="AG41" s="124"/>
      <c r="AH41" s="124"/>
      <c r="AI41" s="127"/>
      <c r="AJ41" s="124"/>
      <c r="AK41" s="124"/>
      <c r="AL41" s="124"/>
      <c r="AM41" s="124"/>
      <c r="AN41" s="127"/>
      <c r="AO41" s="124"/>
      <c r="AP41" s="124"/>
      <c r="AQ41" s="124"/>
      <c r="AR41" s="124"/>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row>
    <row r="42" spans="1:71" s="122" customFormat="1" ht="15.95" customHeight="1" x14ac:dyDescent="0.25">
      <c r="A42" s="338"/>
      <c r="B42" s="41" t="s">
        <v>104</v>
      </c>
      <c r="C42" s="42">
        <v>0</v>
      </c>
      <c r="D42" s="41" t="s">
        <v>104</v>
      </c>
      <c r="E42" s="43">
        <f>C33+C42+C28*C15-C30*C13</f>
        <v>0</v>
      </c>
      <c r="F42" s="41"/>
      <c r="G42" s="125"/>
      <c r="H42" s="121"/>
      <c r="I42" s="121"/>
      <c r="J42" s="121"/>
      <c r="K42" s="121"/>
      <c r="L42" s="121"/>
      <c r="M42" s="121"/>
      <c r="O42" s="126"/>
      <c r="P42" s="126"/>
      <c r="Q42" s="126"/>
      <c r="R42" s="126"/>
      <c r="S42" s="124"/>
      <c r="T42" s="126"/>
      <c r="U42" s="126"/>
      <c r="V42" s="126"/>
      <c r="W42" s="126"/>
      <c r="X42" s="126"/>
      <c r="Y42" s="126"/>
      <c r="Z42" s="126"/>
      <c r="AA42" s="126"/>
      <c r="AB42" s="127"/>
      <c r="AC42" s="124"/>
      <c r="AD42" s="124"/>
      <c r="AE42" s="124"/>
      <c r="AF42" s="124"/>
      <c r="AG42" s="124"/>
      <c r="AH42" s="124"/>
      <c r="AI42" s="127"/>
      <c r="AJ42" s="124"/>
      <c r="AK42" s="124"/>
      <c r="AL42" s="124"/>
      <c r="AM42" s="124"/>
      <c r="AN42" s="127"/>
      <c r="AO42" s="124"/>
      <c r="AP42" s="124"/>
      <c r="AQ42" s="124"/>
      <c r="AR42" s="124"/>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row>
    <row r="43" spans="1:71" s="122" customFormat="1" ht="15.95" customHeight="1" x14ac:dyDescent="0.25">
      <c r="A43" s="338"/>
      <c r="B43" s="130" t="s">
        <v>105</v>
      </c>
      <c r="C43" s="133"/>
      <c r="D43" s="41" t="s">
        <v>105</v>
      </c>
      <c r="E43" s="43">
        <f>C34+C43+C29*C13-C28*C14</f>
        <v>-180000</v>
      </c>
      <c r="F43" s="121"/>
      <c r="G43" s="121"/>
      <c r="H43" s="121"/>
      <c r="I43" s="121"/>
      <c r="J43" s="121"/>
      <c r="K43" s="121"/>
      <c r="L43" s="121"/>
      <c r="M43" s="121"/>
      <c r="O43" s="126"/>
      <c r="P43" s="126"/>
      <c r="Q43" s="126"/>
      <c r="R43" s="126"/>
      <c r="S43" s="124"/>
      <c r="T43" s="126"/>
      <c r="U43" s="126"/>
      <c r="V43" s="126"/>
      <c r="W43" s="126"/>
      <c r="X43" s="126"/>
      <c r="Y43" s="126"/>
      <c r="Z43" s="126"/>
      <c r="AA43" s="126"/>
      <c r="AB43" s="127"/>
      <c r="AC43" s="124"/>
      <c r="AD43" s="124"/>
      <c r="AE43" s="124"/>
      <c r="AF43" s="124"/>
      <c r="AG43" s="124"/>
      <c r="AH43" s="124"/>
      <c r="AI43" s="127"/>
      <c r="AJ43" s="124"/>
      <c r="AK43" s="124"/>
      <c r="AL43" s="124"/>
      <c r="AM43" s="124"/>
      <c r="AN43" s="127"/>
      <c r="AO43" s="124"/>
      <c r="AP43" s="124"/>
      <c r="AQ43" s="124"/>
      <c r="AR43" s="124"/>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row>
    <row r="44" spans="1:71" s="52" customFormat="1" ht="15.95" customHeight="1" thickBot="1" x14ac:dyDescent="0.3">
      <c r="A44" s="339"/>
      <c r="B44" s="57" t="s">
        <v>108</v>
      </c>
      <c r="C44" s="58">
        <v>1</v>
      </c>
      <c r="D44" s="57" t="s">
        <v>108</v>
      </c>
      <c r="E44" s="58">
        <v>1</v>
      </c>
      <c r="F44" s="51"/>
      <c r="G44" s="51"/>
      <c r="H44" s="51"/>
      <c r="I44" s="51"/>
      <c r="J44" s="51"/>
      <c r="K44" s="51"/>
      <c r="L44" s="51"/>
      <c r="M44" s="51"/>
      <c r="O44" s="128"/>
      <c r="P44" s="128"/>
      <c r="Q44" s="128"/>
      <c r="R44" s="128"/>
      <c r="S44" s="54"/>
      <c r="T44" s="128"/>
      <c r="U44" s="128"/>
      <c r="V44" s="128"/>
      <c r="W44" s="128"/>
      <c r="X44" s="128"/>
      <c r="Y44" s="128"/>
      <c r="Z44" s="128"/>
      <c r="AA44" s="128"/>
      <c r="AB44" s="129"/>
      <c r="AC44" s="54"/>
      <c r="AD44" s="54"/>
      <c r="AE44" s="54"/>
      <c r="AF44" s="54"/>
      <c r="AG44" s="54"/>
      <c r="AH44" s="54"/>
      <c r="AI44" s="129"/>
      <c r="AJ44" s="54"/>
      <c r="AK44" s="54"/>
      <c r="AL44" s="54"/>
      <c r="AM44" s="54"/>
      <c r="AN44" s="129"/>
      <c r="AO44" s="54"/>
      <c r="AP44" s="54"/>
      <c r="AQ44" s="54"/>
      <c r="AR44" s="54"/>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5" customHeight="1" x14ac:dyDescent="0.25">
      <c r="A45" s="334" t="s">
        <v>324</v>
      </c>
      <c r="B45" s="68" t="s">
        <v>250</v>
      </c>
      <c r="E45" s="1" t="s">
        <v>141</v>
      </c>
    </row>
    <row r="46" spans="1:71" ht="15" customHeight="1" x14ac:dyDescent="0.25">
      <c r="A46" s="334"/>
      <c r="B46" s="12" t="s">
        <v>73</v>
      </c>
      <c r="C46" s="56">
        <f>C24</f>
        <v>600</v>
      </c>
      <c r="E46" s="319" t="s">
        <v>138</v>
      </c>
      <c r="F46" s="319"/>
      <c r="G46" s="319" t="s">
        <v>139</v>
      </c>
      <c r="H46" s="319"/>
      <c r="N46" s="34" t="s">
        <v>98</v>
      </c>
      <c r="O46" s="1"/>
      <c r="P46" s="67"/>
      <c r="Q46" s="1"/>
      <c r="R46" s="1"/>
      <c r="S46" s="34" t="s">
        <v>136</v>
      </c>
      <c r="Y46" s="94" t="s">
        <v>297</v>
      </c>
    </row>
    <row r="47" spans="1:71" ht="15" customHeight="1" x14ac:dyDescent="0.25">
      <c r="A47" s="334"/>
      <c r="B47" s="12" t="s">
        <v>74</v>
      </c>
      <c r="C47" s="56">
        <f>C25</f>
        <v>500</v>
      </c>
      <c r="E47" s="46" t="s">
        <v>84</v>
      </c>
      <c r="F47" s="48">
        <f>'CS_2 vertical axis'!B45</f>
        <v>5.0000000000000001E-3</v>
      </c>
      <c r="G47" s="46" t="s">
        <v>84</v>
      </c>
      <c r="H47" s="48">
        <f>'CS_2 vertical axis'!B52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x14ac:dyDescent="0.25">
      <c r="A48" s="334"/>
      <c r="B48" s="12" t="s">
        <v>75</v>
      </c>
      <c r="C48" s="56">
        <f>C26</f>
        <v>0</v>
      </c>
      <c r="E48" s="46" t="s">
        <v>112</v>
      </c>
      <c r="F48" s="48">
        <f>'CS_2 vertical axis'!B46</f>
        <v>5.0000000000000001E-3</v>
      </c>
      <c r="G48" s="46" t="s">
        <v>112</v>
      </c>
      <c r="H48" s="48">
        <f>'CS_2 vertical axis'!B53</f>
        <v>0</v>
      </c>
      <c r="N48" s="46" t="s">
        <v>84</v>
      </c>
      <c r="O48" s="50">
        <f>ABS(F47)</f>
        <v>5.0000000000000001E-3</v>
      </c>
      <c r="P48" s="50">
        <f>ABS(F50*O62)</f>
        <v>0</v>
      </c>
      <c r="Q48" s="50">
        <f>ABS(F51*P62)</f>
        <v>2.952755630654733E-5</v>
      </c>
      <c r="R48" s="50">
        <f>ABS(F52*Q62)</f>
        <v>4.9242117779691542E-2</v>
      </c>
      <c r="S48" s="46" t="s">
        <v>84</v>
      </c>
      <c r="T48" s="49">
        <f t="array" ref="T48:W51">ABS(MMULT(T66:W69,O48:R51))</f>
        <v>5.0000000000000001E-3</v>
      </c>
      <c r="U48" s="49">
        <v>0</v>
      </c>
      <c r="V48" s="49">
        <v>2.952755630654733E-5</v>
      </c>
      <c r="W48" s="49">
        <v>4.9242117779691542E-2</v>
      </c>
      <c r="X48" s="70" t="s">
        <v>84</v>
      </c>
      <c r="Y48" s="49">
        <f>F54+F61</f>
        <v>0.19491514264056012</v>
      </c>
      <c r="Z48" s="29">
        <f>F57*O62</f>
        <v>0</v>
      </c>
      <c r="AA48" s="29">
        <f>F58*P62</f>
        <v>0</v>
      </c>
      <c r="AB48" s="29">
        <f>F59*Q62</f>
        <v>1.4806244963426127E-2</v>
      </c>
    </row>
    <row r="49" spans="1:59" ht="15" customHeight="1" x14ac:dyDescent="0.25">
      <c r="A49" s="60">
        <v>2</v>
      </c>
      <c r="B49" s="1" t="s">
        <v>76</v>
      </c>
      <c r="E49" s="46" t="s">
        <v>113</v>
      </c>
      <c r="F49" s="48">
        <f>'CS_2 vertical axis'!B47</f>
        <v>5.0000000000000001E-3</v>
      </c>
      <c r="G49" s="46" t="s">
        <v>113</v>
      </c>
      <c r="H49" s="48">
        <f>'CS_2 vertical axis'!B54</f>
        <v>0</v>
      </c>
      <c r="N49" s="46" t="s">
        <v>112</v>
      </c>
      <c r="O49" s="50">
        <f t="shared" ref="O49:O50" si="8">ABS(F48)</f>
        <v>5.0000000000000001E-3</v>
      </c>
      <c r="P49" s="50">
        <f>ABS(F50*O63)</f>
        <v>2.4606297164310745E-5</v>
      </c>
      <c r="Q49" s="50">
        <f>ABS(F51*P63)</f>
        <v>0</v>
      </c>
      <c r="R49" s="50">
        <f>ABS(F52*Q63)</f>
        <v>5.903050197055229E-2</v>
      </c>
      <c r="S49" s="46" t="s">
        <v>112</v>
      </c>
      <c r="T49" s="49">
        <v>5.0000000000000001E-3</v>
      </c>
      <c r="U49" s="49">
        <v>2.4606297164310745E-5</v>
      </c>
      <c r="V49" s="49">
        <v>0</v>
      </c>
      <c r="W49" s="49">
        <v>5.903050197055229E-2</v>
      </c>
      <c r="X49" s="70" t="s">
        <v>112</v>
      </c>
      <c r="Y49" s="49">
        <f t="shared" ref="Y49:Y50" si="9">F55+F62</f>
        <v>-1.1252906971198557E-3</v>
      </c>
      <c r="Z49" s="29">
        <f>F57*O63</f>
        <v>0</v>
      </c>
      <c r="AA49" s="29">
        <f>F58*P63</f>
        <v>0</v>
      </c>
      <c r="AB49" s="29">
        <f>F59*Q63</f>
        <v>-1.7749441167424152E-2</v>
      </c>
    </row>
    <row r="50" spans="1:59" ht="15" customHeight="1" x14ac:dyDescent="0.25">
      <c r="A50" s="43">
        <f>IF(A49&gt;Naxes,0,1)</f>
        <v>1</v>
      </c>
      <c r="B50" s="2" t="s">
        <v>177</v>
      </c>
      <c r="C50" s="37">
        <v>0</v>
      </c>
      <c r="E50" s="4" t="s">
        <v>85</v>
      </c>
      <c r="F50" s="48">
        <f>'CS_2 vertical axis'!B48</f>
        <v>9.8425196850393767E-5</v>
      </c>
      <c r="G50" s="4" t="s">
        <v>85</v>
      </c>
      <c r="H50" s="48">
        <f>'CS_2 vertical axis'!B55</f>
        <v>0</v>
      </c>
      <c r="N50" s="46" t="s">
        <v>113</v>
      </c>
      <c r="O50" s="50">
        <f t="shared" si="8"/>
        <v>5.0000000000000001E-3</v>
      </c>
      <c r="P50" s="50">
        <f>ABS(F50*O64)</f>
        <v>4.9212590223097555E-2</v>
      </c>
      <c r="Q50" s="50">
        <f>ABS(F51*P64)</f>
        <v>5.9055107686465998E-2</v>
      </c>
      <c r="R50" s="50">
        <f>ABS(F52*Q64)</f>
        <v>0</v>
      </c>
      <c r="S50" s="46" t="s">
        <v>113</v>
      </c>
      <c r="T50" s="49">
        <v>5.0000000000000001E-3</v>
      </c>
      <c r="U50" s="49">
        <v>4.9212590223097555E-2</v>
      </c>
      <c r="V50" s="49">
        <v>5.9055107686465998E-2</v>
      </c>
      <c r="W50" s="49">
        <v>0</v>
      </c>
      <c r="X50" s="70" t="s">
        <v>113</v>
      </c>
      <c r="Y50" s="49">
        <f t="shared" si="9"/>
        <v>0</v>
      </c>
      <c r="Z50" s="29">
        <f>F57*O64</f>
        <v>0</v>
      </c>
      <c r="AA50" s="29">
        <f>F58*P64</f>
        <v>0</v>
      </c>
      <c r="AB50" s="29">
        <f>F59*Q64</f>
        <v>0</v>
      </c>
    </row>
    <row r="51" spans="1:59" ht="15" customHeight="1" x14ac:dyDescent="0.25">
      <c r="A51" s="336" t="s">
        <v>127</v>
      </c>
      <c r="B51" s="2" t="s">
        <v>179</v>
      </c>
      <c r="C51" s="37">
        <v>0</v>
      </c>
      <c r="E51" s="4" t="s">
        <v>86</v>
      </c>
      <c r="F51" s="48">
        <f>'CS_2 vertical axis'!B49</f>
        <v>9.8425195881641819E-5</v>
      </c>
      <c r="G51" s="4" t="s">
        <v>86</v>
      </c>
      <c r="H51" s="48">
        <f>'CS_2 vertical axis'!B56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x14ac:dyDescent="0.25">
      <c r="A52" s="336"/>
      <c r="B52" s="2" t="s">
        <v>178</v>
      </c>
      <c r="C52" s="37">
        <v>0</v>
      </c>
      <c r="E52" s="4" t="s">
        <v>87</v>
      </c>
      <c r="F52" s="48">
        <f>'CS_2 vertical axis'!B50</f>
        <v>9.8425196850393767E-5</v>
      </c>
      <c r="G52" s="4" t="s">
        <v>87</v>
      </c>
      <c r="H52" s="48">
        <f>'CS_2 vertical axis'!B57</f>
        <v>0</v>
      </c>
      <c r="X52" s="6"/>
    </row>
    <row r="53" spans="1:59" ht="30" customHeight="1" x14ac:dyDescent="0.25">
      <c r="A53" s="336"/>
      <c r="B53" s="2" t="s">
        <v>245</v>
      </c>
      <c r="C53" s="37">
        <v>0</v>
      </c>
      <c r="E53" s="317" t="s">
        <v>303</v>
      </c>
      <c r="F53" s="317"/>
      <c r="G53" s="319" t="s">
        <v>251</v>
      </c>
      <c r="H53" s="319"/>
      <c r="I53" s="317" t="s">
        <v>306</v>
      </c>
      <c r="J53" s="317"/>
      <c r="K53" s="317" t="s">
        <v>304</v>
      </c>
      <c r="L53" s="317"/>
      <c r="N53" s="34" t="s">
        <v>99</v>
      </c>
      <c r="O53" s="1"/>
      <c r="P53" s="67"/>
      <c r="Q53" s="1"/>
      <c r="R53" s="1"/>
      <c r="S53" s="34" t="s">
        <v>137</v>
      </c>
      <c r="X53" s="6"/>
      <c r="Y53" s="94" t="s">
        <v>296</v>
      </c>
    </row>
    <row r="54" spans="1:59" ht="15" customHeight="1" x14ac:dyDescent="0.25">
      <c r="A54" s="336"/>
      <c r="B54" s="2" t="s">
        <v>77</v>
      </c>
      <c r="C54" s="38">
        <v>0</v>
      </c>
      <c r="E54" s="46" t="s">
        <v>84</v>
      </c>
      <c r="F54" s="49">
        <f>E70/IF(H54=0,1000000000000,H54)</f>
        <v>0</v>
      </c>
      <c r="G54" s="4" t="s">
        <v>117</v>
      </c>
      <c r="H54" s="29">
        <f>'CS_2 vertical axis'!B25</f>
        <v>40000000</v>
      </c>
      <c r="I54" s="4" t="s">
        <v>85</v>
      </c>
      <c r="J54" s="49">
        <f>A83*F97</f>
        <v>0</v>
      </c>
      <c r="K54" s="4" t="s">
        <v>85</v>
      </c>
      <c r="L54" s="139">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x14ac:dyDescent="0.25">
      <c r="A55" s="330" t="s">
        <v>399</v>
      </c>
      <c r="B55" s="2" t="s">
        <v>107</v>
      </c>
      <c r="C55" s="298">
        <v>-350</v>
      </c>
      <c r="E55" s="46" t="s">
        <v>112</v>
      </c>
      <c r="F55" s="49">
        <f t="shared" ref="F55:F56" si="10">E71/IF(H55=0,1000000000000,H55)</f>
        <v>-7.5000000000000002E-6</v>
      </c>
      <c r="G55" s="4" t="s">
        <v>118</v>
      </c>
      <c r="H55" s="29">
        <f>'CS_2 vertical axis'!B26</f>
        <v>40000000</v>
      </c>
      <c r="I55" s="4" t="s">
        <v>86</v>
      </c>
      <c r="J55" s="49">
        <f>A83*F98</f>
        <v>0</v>
      </c>
      <c r="K55" s="4" t="s">
        <v>86</v>
      </c>
      <c r="L55" s="139">
        <v>0</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0.19491514264056012</v>
      </c>
      <c r="Z55" s="29">
        <f t="array" ref="Z55:Z58">MMULT(T66:W69,Z48:Z51)</f>
        <v>0</v>
      </c>
      <c r="AA55" s="29">
        <f t="array" ref="AA55:AA58">MMULT(T66:W69,AA48:AA51)</f>
        <v>0</v>
      </c>
      <c r="AB55" s="29">
        <f t="array" ref="AB55:AB58">MMULT(T66:W69,AB48:AB51)</f>
        <v>1.4806244963426127E-2</v>
      </c>
    </row>
    <row r="56" spans="1:59" ht="15" customHeight="1" x14ac:dyDescent="0.25">
      <c r="A56" s="331"/>
      <c r="B56" s="34" t="s">
        <v>78</v>
      </c>
      <c r="E56" s="46" t="s">
        <v>113</v>
      </c>
      <c r="F56" s="49">
        <f t="shared" si="10"/>
        <v>0</v>
      </c>
      <c r="G56" s="4" t="s">
        <v>119</v>
      </c>
      <c r="H56" s="29">
        <f>'CS_2 vertical axis'!B27</f>
        <v>40000000</v>
      </c>
      <c r="I56" s="4" t="s">
        <v>87</v>
      </c>
      <c r="J56" s="49">
        <f>A83*F99</f>
        <v>-2.7853258548932114E-5</v>
      </c>
      <c r="K56" s="4" t="s">
        <v>87</v>
      </c>
      <c r="L56" s="139">
        <v>-2.7853258548932114E-5</v>
      </c>
      <c r="N56" s="46" t="s">
        <v>112</v>
      </c>
      <c r="O56" s="50">
        <f>H48</f>
        <v>0</v>
      </c>
      <c r="P56" s="50">
        <f>H50*O63</f>
        <v>0</v>
      </c>
      <c r="Q56" s="50">
        <f>H51*P63</f>
        <v>0</v>
      </c>
      <c r="R56" s="50">
        <f>H52*Q63</f>
        <v>0</v>
      </c>
      <c r="S56" s="46" t="s">
        <v>112</v>
      </c>
      <c r="T56" s="50">
        <v>0</v>
      </c>
      <c r="U56" s="50">
        <v>0</v>
      </c>
      <c r="V56" s="50">
        <v>0</v>
      </c>
      <c r="W56" s="50">
        <v>0</v>
      </c>
      <c r="X56" s="70" t="s">
        <v>112</v>
      </c>
      <c r="Y56" s="29">
        <v>-1.1252906971198557E-3</v>
      </c>
      <c r="Z56" s="29">
        <v>0</v>
      </c>
      <c r="AA56" s="29">
        <v>0</v>
      </c>
      <c r="AB56" s="29">
        <v>-1.7749441167424152E-2</v>
      </c>
    </row>
    <row r="57" spans="1:59" ht="15" customHeight="1" x14ac:dyDescent="0.25">
      <c r="A57" s="331"/>
      <c r="B57" s="12" t="s">
        <v>79</v>
      </c>
      <c r="C57" s="31">
        <f>AC66+C53</f>
        <v>600</v>
      </c>
      <c r="E57" s="4" t="s">
        <v>85</v>
      </c>
      <c r="F57" s="49">
        <f>E74/IF(H57=0,1000000000000,H57)+L54</f>
        <v>0</v>
      </c>
      <c r="G57" s="46" t="s">
        <v>8</v>
      </c>
      <c r="H57" s="29">
        <f>'CS_2 vertical axis'!B29</f>
        <v>103629975000</v>
      </c>
      <c r="I57" s="4" t="s">
        <v>305</v>
      </c>
      <c r="J57" s="29">
        <v>1</v>
      </c>
      <c r="K57" s="4" t="s">
        <v>305</v>
      </c>
      <c r="L57" s="139">
        <v>1</v>
      </c>
      <c r="N57" s="46" t="s">
        <v>113</v>
      </c>
      <c r="O57" s="50">
        <f>H49</f>
        <v>0</v>
      </c>
      <c r="P57" s="50">
        <f>H50*O64</f>
        <v>0</v>
      </c>
      <c r="Q57" s="50">
        <f>H51*P64</f>
        <v>0</v>
      </c>
      <c r="R57" s="50">
        <f>H52*Q64</f>
        <v>0</v>
      </c>
      <c r="S57" s="46" t="s">
        <v>113</v>
      </c>
      <c r="T57" s="50">
        <v>0</v>
      </c>
      <c r="U57" s="50">
        <v>0</v>
      </c>
      <c r="V57" s="50">
        <v>0</v>
      </c>
      <c r="W57" s="50">
        <v>0</v>
      </c>
      <c r="X57" s="70" t="s">
        <v>113</v>
      </c>
      <c r="Y57" s="29">
        <v>0</v>
      </c>
      <c r="Z57" s="29">
        <v>0</v>
      </c>
      <c r="AA57" s="29">
        <v>0</v>
      </c>
      <c r="AB57" s="29">
        <v>0</v>
      </c>
    </row>
    <row r="58" spans="1:59" ht="15" customHeight="1" x14ac:dyDescent="0.25">
      <c r="A58" s="331"/>
      <c r="B58" s="12" t="s">
        <v>80</v>
      </c>
      <c r="C58" s="31">
        <f>AC67+C54</f>
        <v>500</v>
      </c>
      <c r="E58" s="4" t="s">
        <v>86</v>
      </c>
      <c r="F58" s="49">
        <f t="shared" ref="F58:F59" si="11">E75/IF(H58=0,1000000000000,H58)+L55</f>
        <v>0</v>
      </c>
      <c r="G58" s="46" t="s">
        <v>120</v>
      </c>
      <c r="H58" s="29">
        <f>'CS_2 vertical axis'!B30</f>
        <v>206585991666.66666</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x14ac:dyDescent="0.25">
      <c r="A59" s="331"/>
      <c r="B59" s="12" t="s">
        <v>81</v>
      </c>
      <c r="C59" s="31">
        <f>AC68+C55</f>
        <v>-350</v>
      </c>
      <c r="E59" s="4" t="s">
        <v>87</v>
      </c>
      <c r="F59" s="49">
        <f t="shared" si="11"/>
        <v>-2.9594738017977597E-5</v>
      </c>
      <c r="G59" s="46" t="s">
        <v>116</v>
      </c>
      <c r="H59" s="29">
        <f>'CS_2 vertical axis'!B31</f>
        <v>103360391666.66667</v>
      </c>
      <c r="AB59" s="5"/>
      <c r="AU59" s="5" t="s">
        <v>67</v>
      </c>
      <c r="AZ59" s="5" t="s">
        <v>92</v>
      </c>
      <c r="BE59" s="5" t="s">
        <v>97</v>
      </c>
    </row>
    <row r="60" spans="1:59" ht="31.5" x14ac:dyDescent="0.25">
      <c r="A60" s="331"/>
      <c r="B60" s="69" t="s">
        <v>106</v>
      </c>
      <c r="E60" s="319" t="s">
        <v>294</v>
      </c>
      <c r="F60" s="333"/>
      <c r="G60" s="327" t="s">
        <v>293</v>
      </c>
      <c r="H60" s="328"/>
      <c r="I60" s="328"/>
      <c r="J60" s="328"/>
      <c r="K60" s="328"/>
      <c r="L60" s="329"/>
      <c r="M60" s="93" t="s">
        <v>295</v>
      </c>
      <c r="N60" s="84" t="s">
        <v>248</v>
      </c>
      <c r="AE60" s="45" t="s">
        <v>227</v>
      </c>
      <c r="AF60" s="91">
        <v>1E-3</v>
      </c>
      <c r="AG60" s="45"/>
      <c r="AH60" s="45"/>
      <c r="AI60" s="45"/>
      <c r="AJ60" s="45" t="s">
        <v>93</v>
      </c>
      <c r="AK60" s="92">
        <v>1E-3</v>
      </c>
      <c r="AL60" s="7"/>
      <c r="AM60" s="7"/>
      <c r="AN60" s="45"/>
      <c r="AO60" s="45" t="s">
        <v>226</v>
      </c>
      <c r="AP60" s="91">
        <v>1E-3</v>
      </c>
      <c r="AU60" s="7" t="s">
        <v>0</v>
      </c>
      <c r="AV60" s="7" t="s">
        <v>1</v>
      </c>
      <c r="AW60" s="7" t="s">
        <v>2</v>
      </c>
      <c r="AZ60" s="7" t="s">
        <v>0</v>
      </c>
      <c r="BA60" s="7" t="s">
        <v>1</v>
      </c>
      <c r="BB60" s="7" t="s">
        <v>2</v>
      </c>
      <c r="BE60" s="7" t="s">
        <v>0</v>
      </c>
      <c r="BF60" s="7" t="s">
        <v>1</v>
      </c>
      <c r="BG60" s="7" t="s">
        <v>2</v>
      </c>
    </row>
    <row r="61" spans="1:59" ht="15" customHeight="1" x14ac:dyDescent="0.25">
      <c r="A61" s="331"/>
      <c r="B61" s="41" t="s">
        <v>100</v>
      </c>
      <c r="C61" s="43">
        <f t="array" ref="C61:C64">MMULT(O33:R36,E37:E40)</f>
        <v>0</v>
      </c>
      <c r="E61" s="46" t="s">
        <v>84</v>
      </c>
      <c r="F61" s="49">
        <f t="array" ref="F61:F66">MMULT(G61:L66,M61:M66)</f>
        <v>0.19491514264056012</v>
      </c>
      <c r="G61" s="132">
        <f>'CS_2 vertical axis'!G5</f>
        <v>3.609539678528891E-4</v>
      </c>
      <c r="H61" s="132">
        <f>'CS_2 vertical axis'!H5</f>
        <v>0</v>
      </c>
      <c r="I61" s="132">
        <f>'CS_2 vertical axis'!I5</f>
        <v>0</v>
      </c>
      <c r="J61" s="132">
        <f>'CS_2 vertical axis'!J5</f>
        <v>0</v>
      </c>
      <c r="K61" s="132">
        <f>'CS_2 vertical axis'!K5</f>
        <v>0</v>
      </c>
      <c r="L61" s="132">
        <f>'CS_2 vertical axis'!L5</f>
        <v>-1.0828619035586674E-6</v>
      </c>
      <c r="M61" s="29">
        <f>C61</f>
        <v>0</v>
      </c>
      <c r="O61" s="7" t="s">
        <v>4</v>
      </c>
      <c r="P61" s="26" t="s">
        <v>5</v>
      </c>
      <c r="Q61" s="26" t="s">
        <v>6</v>
      </c>
      <c r="R61" s="26"/>
      <c r="S61" s="26"/>
      <c r="T61" s="26"/>
      <c r="U61" s="26"/>
      <c r="V61" s="26"/>
      <c r="W61" s="26"/>
      <c r="X61" s="26"/>
      <c r="Y61" s="26"/>
      <c r="Z61" s="26"/>
      <c r="AA61" s="26"/>
      <c r="AB61" t="s">
        <v>66</v>
      </c>
      <c r="AC61" s="29">
        <f>C46</f>
        <v>600</v>
      </c>
      <c r="AD61" s="29"/>
      <c r="AE61" s="78">
        <v>1</v>
      </c>
      <c r="AF61" s="49">
        <v>0</v>
      </c>
      <c r="AG61" s="49">
        <v>0</v>
      </c>
      <c r="AH61" s="79">
        <v>0</v>
      </c>
      <c r="AI61" s="80"/>
      <c r="AJ61" s="49">
        <f>COS(AK60)</f>
        <v>0.99999950000004167</v>
      </c>
      <c r="AK61" s="49">
        <v>0</v>
      </c>
      <c r="AL61" s="49">
        <f>-AJ63</f>
        <v>9.9999983333334168E-4</v>
      </c>
      <c r="AM61" s="49">
        <v>0</v>
      </c>
      <c r="AN61" s="80"/>
      <c r="AO61" s="49">
        <f>COS(AP60)</f>
        <v>0.99999950000004167</v>
      </c>
      <c r="AP61" s="49">
        <f>-AO62</f>
        <v>-9.9999983333334168E-4</v>
      </c>
      <c r="AQ61" s="49">
        <v>0</v>
      </c>
      <c r="AR61" s="49">
        <v>0</v>
      </c>
      <c r="AS61" s="80"/>
      <c r="AT61" s="29" t="s">
        <v>63</v>
      </c>
      <c r="AU61" s="49">
        <f t="array" ref="AU61:AU64">MMULT(AE61:AH64,$AC61:$AC64)</f>
        <v>600</v>
      </c>
      <c r="AV61" s="49">
        <f>AU61-$AC61</f>
        <v>0</v>
      </c>
      <c r="AW61" s="49">
        <f>AV61/AF60</f>
        <v>0</v>
      </c>
      <c r="AX61" s="80"/>
      <c r="AY61" s="29" t="s">
        <v>63</v>
      </c>
      <c r="AZ61" s="49">
        <f t="array" ref="AZ61:AZ64">MMULT(AJ61:AM64,$AC61:$AC64)</f>
        <v>599.99970000002497</v>
      </c>
      <c r="BA61" s="49">
        <f>AZ61-$AC61</f>
        <v>-2.9999997502727638E-4</v>
      </c>
      <c r="BB61" s="49">
        <f>BA61/AK60</f>
        <v>-0.29999997502727638</v>
      </c>
      <c r="BC61" s="80"/>
      <c r="BD61" s="29" t="s">
        <v>63</v>
      </c>
      <c r="BE61" s="49">
        <f t="array" ref="BE61:BE64">MMULT(AO61:AR64,$AC61:$AC64)</f>
        <v>599.49970008335833</v>
      </c>
      <c r="BF61" s="49">
        <f>BE61-$AC61</f>
        <v>-0.50029991664166573</v>
      </c>
      <c r="BG61" s="49">
        <f>BF61/AP60</f>
        <v>-500.29991664166573</v>
      </c>
    </row>
    <row r="62" spans="1:59" x14ac:dyDescent="0.25">
      <c r="A62" s="331"/>
      <c r="B62" s="41" t="s">
        <v>101</v>
      </c>
      <c r="C62" s="43">
        <v>-300</v>
      </c>
      <c r="E62" s="46" t="s">
        <v>112</v>
      </c>
      <c r="F62" s="49">
        <v>-1.1177906971198558E-3</v>
      </c>
      <c r="G62" s="132">
        <f>'CS_2 vertical axis'!G6</f>
        <v>0</v>
      </c>
      <c r="H62" s="132">
        <f>'CS_2 vertical axis'!H6</f>
        <v>3.7259689903995191E-6</v>
      </c>
      <c r="I62" s="132">
        <f>'CS_2 vertical axis'!I6</f>
        <v>0</v>
      </c>
      <c r="J62" s="132">
        <f>'CS_2 vertical axis'!J6</f>
        <v>0</v>
      </c>
      <c r="K62" s="132">
        <f>'CS_2 vertical axis'!K6</f>
        <v>0</v>
      </c>
      <c r="L62" s="132">
        <f>'CS_2 vertical axis'!L6</f>
        <v>0</v>
      </c>
      <c r="M62" s="29">
        <f t="shared" ref="M62:M63" si="12">C62</f>
        <v>-300</v>
      </c>
      <c r="N62" s="46" t="s">
        <v>84</v>
      </c>
      <c r="O62" s="31">
        <f>AW61</f>
        <v>0</v>
      </c>
      <c r="P62" s="31">
        <f>BB61</f>
        <v>-0.29999997502727638</v>
      </c>
      <c r="Q62" s="31">
        <f>BG61</f>
        <v>-500.29991664166573</v>
      </c>
      <c r="AB62" t="s">
        <v>71</v>
      </c>
      <c r="AC62" s="29">
        <f>C47</f>
        <v>500</v>
      </c>
      <c r="AD62" s="29"/>
      <c r="AE62" s="78">
        <v>0</v>
      </c>
      <c r="AF62" s="49">
        <f>COS(AF60)</f>
        <v>0.99999950000004167</v>
      </c>
      <c r="AG62" s="49">
        <f>-SIN(AF60)</f>
        <v>-9.9999983333334168E-4</v>
      </c>
      <c r="AH62" s="79">
        <v>0</v>
      </c>
      <c r="AI62" s="80"/>
      <c r="AJ62" s="49">
        <v>0</v>
      </c>
      <c r="AK62" s="49">
        <v>1</v>
      </c>
      <c r="AL62" s="49">
        <v>0</v>
      </c>
      <c r="AM62" s="49">
        <v>0</v>
      </c>
      <c r="AN62" s="80"/>
      <c r="AO62" s="49">
        <f>SIN(AP60)</f>
        <v>9.9999983333334168E-4</v>
      </c>
      <c r="AP62" s="49">
        <f>AO61</f>
        <v>0.99999950000004167</v>
      </c>
      <c r="AQ62" s="49">
        <v>0</v>
      </c>
      <c r="AR62" s="49">
        <v>0</v>
      </c>
      <c r="AS62" s="80"/>
      <c r="AT62" s="29" t="s">
        <v>64</v>
      </c>
      <c r="AU62" s="49">
        <v>499.99975000002081</v>
      </c>
      <c r="AV62" s="49">
        <f>AU62-$AC62</f>
        <v>-2.4999997918939698E-4</v>
      </c>
      <c r="AW62" s="49">
        <f>AV62/AF60</f>
        <v>-0.24999997918939698</v>
      </c>
      <c r="AX62" s="80"/>
      <c r="AY62" s="29" t="s">
        <v>64</v>
      </c>
      <c r="AZ62" s="49">
        <v>500</v>
      </c>
      <c r="BA62" s="49">
        <f>AZ62-$AC62</f>
        <v>0</v>
      </c>
      <c r="BB62" s="49">
        <f>BA62/AK60</f>
        <v>0</v>
      </c>
      <c r="BC62" s="80"/>
      <c r="BD62" s="29" t="s">
        <v>64</v>
      </c>
      <c r="BE62" s="49">
        <v>500.59974990002081</v>
      </c>
      <c r="BF62" s="49">
        <f>BE62-$AC62</f>
        <v>0.59974990002081086</v>
      </c>
      <c r="BG62" s="49">
        <f>BF62/AP60</f>
        <v>599.74990002081086</v>
      </c>
    </row>
    <row r="63" spans="1:59" x14ac:dyDescent="0.25">
      <c r="A63" s="331"/>
      <c r="B63" s="41" t="s">
        <v>102</v>
      </c>
      <c r="C63" s="43">
        <v>0</v>
      </c>
      <c r="E63" s="46" t="s">
        <v>113</v>
      </c>
      <c r="F63" s="49">
        <v>0</v>
      </c>
      <c r="G63" s="132">
        <f>'CS_2 vertical axis'!G7</f>
        <v>0</v>
      </c>
      <c r="H63" s="132">
        <f>'CS_2 vertical axis'!H7</f>
        <v>0</v>
      </c>
      <c r="I63" s="132">
        <f>'CS_2 vertical axis'!I7</f>
        <v>7.2190793570577825E-7</v>
      </c>
      <c r="J63" s="132">
        <f>'CS_2 vertical axis'!J7</f>
        <v>1.0828619035586674E-6</v>
      </c>
      <c r="K63" s="132">
        <f>'CS_2 vertical axis'!K7</f>
        <v>0</v>
      </c>
      <c r="L63" s="132">
        <f>'CS_2 vertical axis'!L7</f>
        <v>0</v>
      </c>
      <c r="M63" s="29">
        <f t="shared" si="12"/>
        <v>0</v>
      </c>
      <c r="N63" s="46" t="s">
        <v>112</v>
      </c>
      <c r="O63" s="31">
        <f t="shared" ref="O63:O64" si="13">AW62</f>
        <v>-0.24999997918939698</v>
      </c>
      <c r="P63" s="31">
        <f t="shared" ref="P63:P64" si="14">BB62</f>
        <v>0</v>
      </c>
      <c r="Q63" s="31">
        <f t="shared" ref="Q63:Q64" si="15">BG62</f>
        <v>599.74990002081086</v>
      </c>
      <c r="AB63" t="s">
        <v>72</v>
      </c>
      <c r="AC63" s="29">
        <f>C48</f>
        <v>0</v>
      </c>
      <c r="AD63" s="29"/>
      <c r="AE63" s="78">
        <v>0</v>
      </c>
      <c r="AF63" s="49">
        <f>-AG62</f>
        <v>9.9999983333334168E-4</v>
      </c>
      <c r="AG63" s="49">
        <f>AF62</f>
        <v>0.99999950000004167</v>
      </c>
      <c r="AH63" s="79">
        <v>0</v>
      </c>
      <c r="AI63" s="80"/>
      <c r="AJ63" s="49">
        <f>-SIN(AK60)</f>
        <v>-9.9999983333334168E-4</v>
      </c>
      <c r="AK63" s="49">
        <v>0</v>
      </c>
      <c r="AL63" s="49">
        <f>COS(AK60)</f>
        <v>0.99999950000004167</v>
      </c>
      <c r="AM63" s="49">
        <v>0</v>
      </c>
      <c r="AN63" s="80"/>
      <c r="AO63" s="49">
        <v>0</v>
      </c>
      <c r="AP63" s="49">
        <v>0</v>
      </c>
      <c r="AQ63" s="49">
        <v>1</v>
      </c>
      <c r="AR63" s="49">
        <v>0</v>
      </c>
      <c r="AS63" s="80"/>
      <c r="AT63" s="29" t="s">
        <v>65</v>
      </c>
      <c r="AU63" s="49">
        <v>0.49999991666667082</v>
      </c>
      <c r="AV63" s="49">
        <f>AU63-$AC63</f>
        <v>0.49999991666667082</v>
      </c>
      <c r="AW63" s="49">
        <f>AV63/AF60</f>
        <v>499.9999166666708</v>
      </c>
      <c r="AX63" s="80"/>
      <c r="AY63" s="29" t="s">
        <v>65</v>
      </c>
      <c r="AZ63" s="49">
        <v>-0.59999990000000503</v>
      </c>
      <c r="BA63" s="49">
        <f>AZ63-$AC63</f>
        <v>-0.59999990000000503</v>
      </c>
      <c r="BB63" s="49">
        <f>BA63/AK60</f>
        <v>-599.99990000000503</v>
      </c>
      <c r="BC63" s="80"/>
      <c r="BD63" s="29" t="s">
        <v>65</v>
      </c>
      <c r="BE63" s="49">
        <v>0</v>
      </c>
      <c r="BF63" s="49">
        <f>BE63-$AC63</f>
        <v>0</v>
      </c>
      <c r="BG63" s="49">
        <f>BF63/AP60</f>
        <v>0</v>
      </c>
    </row>
    <row r="64" spans="1:59" ht="15" customHeight="1" x14ac:dyDescent="0.25">
      <c r="A64" s="331"/>
      <c r="B64" s="41" t="s">
        <v>108</v>
      </c>
      <c r="C64" s="43">
        <v>1</v>
      </c>
      <c r="E64" s="4" t="s">
        <v>85</v>
      </c>
      <c r="F64" s="49">
        <v>0</v>
      </c>
      <c r="G64" s="132">
        <f>'CS_2 vertical axis'!G8</f>
        <v>0</v>
      </c>
      <c r="H64" s="132">
        <f>'CS_2 vertical axis'!H8</f>
        <v>0</v>
      </c>
      <c r="I64" s="132">
        <f>'CS_2 vertical axis'!I8</f>
        <v>1.0828619035586674E-6</v>
      </c>
      <c r="J64" s="132">
        <f>'CS_2 vertical axis'!J8</f>
        <v>4.3314476142346695E-9</v>
      </c>
      <c r="K64" s="132">
        <f>'CS_2 vertical axis'!K8</f>
        <v>0</v>
      </c>
      <c r="L64" s="132">
        <f>'CS_2 vertical axis'!L8</f>
        <v>0</v>
      </c>
      <c r="M64" s="29">
        <f>C65</f>
        <v>0</v>
      </c>
      <c r="N64" s="46" t="s">
        <v>113</v>
      </c>
      <c r="O64" s="31">
        <f t="shared" si="13"/>
        <v>499.9999166666708</v>
      </c>
      <c r="P64" s="31">
        <f t="shared" si="14"/>
        <v>-599.99990000000503</v>
      </c>
      <c r="Q64" s="31">
        <f t="shared" si="15"/>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x14ac:dyDescent="0.25">
      <c r="A65" s="331"/>
      <c r="B65" s="41" t="s">
        <v>103</v>
      </c>
      <c r="C65" s="43">
        <f t="array" ref="C65:C68">MMULT(O33:R36,E41:E44)</f>
        <v>0</v>
      </c>
      <c r="E65" s="4" t="s">
        <v>86</v>
      </c>
      <c r="F65" s="49">
        <v>0</v>
      </c>
      <c r="G65" s="132">
        <f>'CS_2 vertical axis'!G9</f>
        <v>0</v>
      </c>
      <c r="H65" s="132">
        <f>'CS_2 vertical axis'!H9</f>
        <v>0</v>
      </c>
      <c r="I65" s="132">
        <f>'CS_2 vertical axis'!I9</f>
        <v>0</v>
      </c>
      <c r="J65" s="132">
        <f>'CS_2 vertical axis'!J9</f>
        <v>0</v>
      </c>
      <c r="K65" s="132">
        <f>'CS_2 vertical axis'!K9</f>
        <v>4.421152150624145E-10</v>
      </c>
      <c r="L65" s="132">
        <f>'CS_2 vertical axis'!L9</f>
        <v>0</v>
      </c>
      <c r="M65" s="29">
        <f>C66</f>
        <v>0</v>
      </c>
      <c r="O65" s="3" t="s">
        <v>82</v>
      </c>
      <c r="T65" s="3" t="s">
        <v>83</v>
      </c>
      <c r="AE65" t="s">
        <v>95</v>
      </c>
      <c r="AJ65" t="s">
        <v>94</v>
      </c>
      <c r="AO65" t="s">
        <v>96</v>
      </c>
    </row>
    <row r="66" spans="1:44" ht="15" customHeight="1" x14ac:dyDescent="0.25">
      <c r="A66" s="331"/>
      <c r="B66" s="41" t="s">
        <v>104</v>
      </c>
      <c r="C66" s="43">
        <v>0</v>
      </c>
      <c r="E66" s="4" t="s">
        <v>87</v>
      </c>
      <c r="F66" s="49">
        <v>-7.7966057056224052E-4</v>
      </c>
      <c r="G66" s="132">
        <f>'CS_2 vertical axis'!G10</f>
        <v>-1.0828619035586674E-6</v>
      </c>
      <c r="H66" s="132">
        <f>'CS_2 vertical axis'!H10</f>
        <v>0</v>
      </c>
      <c r="I66" s="132">
        <f>'CS_2 vertical axis'!I10</f>
        <v>0</v>
      </c>
      <c r="J66" s="132">
        <f>'CS_2 vertical axis'!J10</f>
        <v>0</v>
      </c>
      <c r="K66" s="132">
        <f>'CS_2 vertical axis'!K10</f>
        <v>0</v>
      </c>
      <c r="L66" s="132">
        <f>'CS_2 vertical axis'!L10</f>
        <v>4.3314476142346695E-9</v>
      </c>
      <c r="M66" s="29">
        <f>C67</f>
        <v>-180000</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600</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x14ac:dyDescent="0.25">
      <c r="A67" s="331"/>
      <c r="B67" s="41" t="s">
        <v>105</v>
      </c>
      <c r="C67" s="43">
        <v>-180000</v>
      </c>
      <c r="I67" s="111"/>
      <c r="J67" s="125"/>
      <c r="K67" s="125"/>
      <c r="L67" s="125"/>
      <c r="M67" s="125"/>
      <c r="O67" s="31">
        <v>0</v>
      </c>
      <c r="P67" s="31">
        <v>1</v>
      </c>
      <c r="Q67" s="31">
        <v>0</v>
      </c>
      <c r="R67" s="31">
        <v>0</v>
      </c>
      <c r="S67" s="11"/>
      <c r="T67" s="31">
        <v>0</v>
      </c>
      <c r="U67" s="31">
        <v>1</v>
      </c>
      <c r="V67" s="31">
        <v>0</v>
      </c>
      <c r="W67" s="31">
        <v>0</v>
      </c>
      <c r="X67" s="31"/>
      <c r="Y67" s="31"/>
      <c r="Z67" s="31"/>
      <c r="AA67" s="31"/>
      <c r="AB67" t="s">
        <v>69</v>
      </c>
      <c r="AC67" s="29">
        <v>500</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x14ac:dyDescent="0.25">
      <c r="A68" s="331"/>
      <c r="B68" s="41" t="s">
        <v>108</v>
      </c>
      <c r="C68" s="43">
        <v>1</v>
      </c>
      <c r="I68" s="111"/>
      <c r="J68" s="125"/>
      <c r="K68" s="125"/>
      <c r="L68" s="125"/>
      <c r="M68" s="125"/>
      <c r="O68" s="31">
        <v>0</v>
      </c>
      <c r="P68" s="31">
        <v>0</v>
      </c>
      <c r="Q68" s="31">
        <v>1</v>
      </c>
      <c r="R68" s="31">
        <v>0</v>
      </c>
      <c r="S68" s="11"/>
      <c r="T68" s="31">
        <v>0</v>
      </c>
      <c r="U68" s="31">
        <v>0</v>
      </c>
      <c r="V68" s="31">
        <v>1</v>
      </c>
      <c r="W68" s="31">
        <v>0</v>
      </c>
      <c r="X68" s="31"/>
      <c r="Y68" s="31"/>
      <c r="Z68" s="31"/>
      <c r="AA68" s="31"/>
      <c r="AB68" t="s">
        <v>70</v>
      </c>
      <c r="AC68" s="29">
        <v>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2" customFormat="1" x14ac:dyDescent="0.25">
      <c r="A69" s="331"/>
      <c r="B69" s="77" t="s">
        <v>183</v>
      </c>
      <c r="C69"/>
      <c r="D69" s="89" t="s">
        <v>246</v>
      </c>
      <c r="E69"/>
      <c r="F69"/>
      <c r="G69" s="40"/>
      <c r="I69" s="127"/>
      <c r="J69" s="134"/>
      <c r="K69" s="134"/>
      <c r="L69" s="134"/>
      <c r="M69" s="134"/>
      <c r="O69" s="123">
        <v>0</v>
      </c>
      <c r="P69" s="123">
        <v>0</v>
      </c>
      <c r="Q69" s="123">
        <v>0</v>
      </c>
      <c r="R69" s="123">
        <v>1</v>
      </c>
      <c r="S69" s="124"/>
      <c r="T69" s="123">
        <v>0</v>
      </c>
      <c r="U69" s="123">
        <v>0</v>
      </c>
      <c r="V69" s="123">
        <v>0</v>
      </c>
      <c r="W69" s="123">
        <v>1</v>
      </c>
      <c r="X69" s="123"/>
      <c r="Y69" s="123"/>
      <c r="Z69" s="123"/>
      <c r="AA69" s="123"/>
      <c r="AC69" s="32">
        <v>1</v>
      </c>
      <c r="AD69" s="32"/>
      <c r="AE69" s="32">
        <v>0</v>
      </c>
      <c r="AF69" s="32">
        <v>0</v>
      </c>
      <c r="AG69" s="32">
        <v>0</v>
      </c>
      <c r="AH69" s="32">
        <v>1</v>
      </c>
      <c r="AJ69" s="32">
        <v>0</v>
      </c>
      <c r="AK69" s="32">
        <v>0</v>
      </c>
      <c r="AL69" s="32">
        <v>0</v>
      </c>
      <c r="AM69" s="32">
        <v>1</v>
      </c>
      <c r="AO69" s="32">
        <v>0</v>
      </c>
      <c r="AP69" s="32">
        <v>0</v>
      </c>
      <c r="AQ69" s="32">
        <v>0</v>
      </c>
      <c r="AR69" s="32">
        <v>1</v>
      </c>
    </row>
    <row r="70" spans="1:44" s="122" customFormat="1" x14ac:dyDescent="0.25">
      <c r="A70" s="331"/>
      <c r="B70" s="41" t="s">
        <v>100</v>
      </c>
      <c r="C70" s="42">
        <v>0</v>
      </c>
      <c r="D70" s="41" t="s">
        <v>100</v>
      </c>
      <c r="E70" s="43">
        <f>C61+C70</f>
        <v>0</v>
      </c>
      <c r="H70" s="130"/>
      <c r="I70" s="134"/>
      <c r="J70" s="134"/>
      <c r="K70" s="134"/>
      <c r="L70" s="134"/>
      <c r="M70" s="134"/>
      <c r="O70" s="123"/>
      <c r="P70" s="123"/>
      <c r="Q70" s="123"/>
      <c r="R70" s="123"/>
      <c r="S70" s="124"/>
      <c r="T70" s="123"/>
      <c r="U70" s="123"/>
      <c r="V70" s="123"/>
      <c r="W70" s="123"/>
      <c r="X70" s="123"/>
      <c r="Y70" s="123"/>
      <c r="Z70" s="123"/>
      <c r="AA70" s="123"/>
      <c r="AC70" s="32"/>
      <c r="AD70" s="32"/>
      <c r="AE70" s="32"/>
      <c r="AF70" s="32"/>
      <c r="AG70" s="32"/>
      <c r="AH70" s="32"/>
      <c r="AJ70" s="32"/>
      <c r="AK70" s="32"/>
      <c r="AL70" s="32"/>
      <c r="AM70" s="32"/>
      <c r="AO70" s="32"/>
      <c r="AP70" s="32"/>
      <c r="AQ70" s="32"/>
      <c r="AR70" s="32"/>
    </row>
    <row r="71" spans="1:44" s="122" customFormat="1" x14ac:dyDescent="0.25">
      <c r="A71" s="331"/>
      <c r="B71" s="41" t="s">
        <v>101</v>
      </c>
      <c r="C71" s="42">
        <v>0</v>
      </c>
      <c r="D71" s="41" t="s">
        <v>101</v>
      </c>
      <c r="E71" s="43">
        <f>C62+C71</f>
        <v>-300</v>
      </c>
      <c r="H71" s="130"/>
      <c r="I71" s="134"/>
      <c r="J71" s="134"/>
      <c r="K71" s="134"/>
      <c r="L71" s="134"/>
      <c r="M71" s="134"/>
      <c r="O71" s="123"/>
      <c r="P71" s="123"/>
      <c r="Q71" s="123"/>
      <c r="R71" s="123"/>
      <c r="S71" s="124"/>
      <c r="T71" s="123"/>
      <c r="U71" s="123"/>
      <c r="V71" s="123"/>
      <c r="W71" s="123"/>
      <c r="X71" s="123"/>
      <c r="Y71" s="123"/>
      <c r="Z71" s="123"/>
      <c r="AA71" s="123"/>
      <c r="AC71" s="32"/>
      <c r="AD71" s="32"/>
      <c r="AE71" s="32"/>
      <c r="AF71" s="32"/>
      <c r="AG71" s="32"/>
      <c r="AH71" s="32"/>
      <c r="AJ71" s="32"/>
      <c r="AK71" s="32"/>
      <c r="AL71" s="32"/>
      <c r="AM71" s="32"/>
      <c r="AO71" s="32"/>
      <c r="AP71" s="32"/>
      <c r="AQ71" s="32"/>
      <c r="AR71" s="32"/>
    </row>
    <row r="72" spans="1:44" s="122" customFormat="1" x14ac:dyDescent="0.25">
      <c r="A72" s="331"/>
      <c r="B72" s="41" t="s">
        <v>102</v>
      </c>
      <c r="C72" s="42">
        <v>0</v>
      </c>
      <c r="D72" s="41" t="s">
        <v>102</v>
      </c>
      <c r="E72" s="43">
        <f>C63+C72</f>
        <v>0</v>
      </c>
      <c r="H72" s="130"/>
      <c r="I72" s="134"/>
      <c r="J72" s="134"/>
      <c r="K72" s="134"/>
      <c r="L72" s="134"/>
      <c r="M72" s="134"/>
      <c r="O72" s="123"/>
      <c r="P72" s="123"/>
      <c r="Q72" s="123"/>
      <c r="R72" s="123"/>
      <c r="S72" s="124"/>
      <c r="T72" s="123"/>
      <c r="U72" s="123"/>
      <c r="V72" s="123"/>
      <c r="W72" s="123"/>
      <c r="X72" s="123"/>
      <c r="Y72" s="123"/>
      <c r="Z72" s="123"/>
      <c r="AA72" s="123"/>
      <c r="AC72" s="32"/>
      <c r="AD72" s="32"/>
      <c r="AE72" s="32"/>
      <c r="AF72" s="32"/>
      <c r="AG72" s="32"/>
      <c r="AH72" s="32"/>
      <c r="AJ72" s="32"/>
      <c r="AK72" s="32"/>
      <c r="AL72" s="32"/>
      <c r="AM72" s="32"/>
      <c r="AO72" s="32"/>
      <c r="AP72" s="32"/>
      <c r="AQ72" s="32"/>
      <c r="AR72" s="32"/>
    </row>
    <row r="73" spans="1:44" s="122" customFormat="1" x14ac:dyDescent="0.25">
      <c r="A73" s="331"/>
      <c r="B73" s="130" t="s">
        <v>108</v>
      </c>
      <c r="C73" s="131">
        <v>1</v>
      </c>
      <c r="D73" s="130" t="s">
        <v>108</v>
      </c>
      <c r="E73" s="131">
        <v>1</v>
      </c>
      <c r="H73" s="130"/>
      <c r="I73" s="134"/>
      <c r="J73" s="134"/>
      <c r="K73" s="134"/>
      <c r="L73" s="134"/>
      <c r="M73" s="134"/>
      <c r="O73" s="123"/>
      <c r="P73" s="123"/>
      <c r="Q73" s="123"/>
      <c r="R73" s="123"/>
      <c r="S73" s="124"/>
      <c r="T73" s="123"/>
      <c r="U73" s="123"/>
      <c r="V73" s="123"/>
      <c r="W73" s="123"/>
      <c r="X73" s="123"/>
      <c r="Y73" s="123"/>
      <c r="Z73" s="123"/>
      <c r="AA73" s="123"/>
      <c r="AC73" s="32"/>
      <c r="AD73" s="32"/>
      <c r="AE73" s="32"/>
      <c r="AF73" s="32"/>
      <c r="AG73" s="32"/>
      <c r="AH73" s="32"/>
      <c r="AJ73" s="32"/>
      <c r="AK73" s="32"/>
      <c r="AL73" s="32"/>
      <c r="AM73" s="32"/>
      <c r="AO73" s="32"/>
      <c r="AP73" s="32"/>
      <c r="AQ73" s="32"/>
      <c r="AR73" s="32"/>
    </row>
    <row r="74" spans="1:44" s="122" customFormat="1" x14ac:dyDescent="0.25">
      <c r="A74" s="331"/>
      <c r="B74" s="41" t="s">
        <v>103</v>
      </c>
      <c r="C74" s="42">
        <v>0</v>
      </c>
      <c r="D74" s="41" t="s">
        <v>103</v>
      </c>
      <c r="E74" s="43">
        <f>C65+C74+C63*C21-C62*C22</f>
        <v>0</v>
      </c>
      <c r="F74" s="130"/>
      <c r="G74" s="134"/>
      <c r="H74" s="130"/>
      <c r="I74" s="134"/>
      <c r="J74" s="134"/>
      <c r="K74" s="134"/>
      <c r="L74" s="134"/>
      <c r="M74" s="134"/>
      <c r="O74" s="123"/>
      <c r="P74" s="123"/>
      <c r="Q74" s="123"/>
      <c r="R74" s="123"/>
      <c r="S74" s="124"/>
      <c r="T74" s="123"/>
      <c r="U74" s="123"/>
      <c r="V74" s="123"/>
      <c r="W74" s="123"/>
      <c r="X74" s="123"/>
      <c r="Y74" s="123"/>
      <c r="Z74" s="123"/>
      <c r="AA74" s="123"/>
      <c r="AC74" s="32"/>
      <c r="AD74" s="32"/>
      <c r="AE74" s="32"/>
      <c r="AF74" s="32"/>
      <c r="AG74" s="32"/>
      <c r="AH74" s="32"/>
      <c r="AJ74" s="32"/>
      <c r="AK74" s="32"/>
      <c r="AL74" s="32"/>
      <c r="AM74" s="32"/>
      <c r="AO74" s="32"/>
      <c r="AP74" s="32"/>
      <c r="AQ74" s="32"/>
      <c r="AR74" s="32"/>
    </row>
    <row r="75" spans="1:44" s="122" customFormat="1" x14ac:dyDescent="0.25">
      <c r="A75" s="331"/>
      <c r="B75" s="130" t="s">
        <v>104</v>
      </c>
      <c r="C75" s="133">
        <v>0</v>
      </c>
      <c r="D75" s="130" t="s">
        <v>104</v>
      </c>
      <c r="E75" s="131">
        <f>C66+C75+C61*C22-C63*C20</f>
        <v>0</v>
      </c>
      <c r="F75" s="130"/>
      <c r="G75" s="134"/>
      <c r="H75" s="130"/>
      <c r="I75" s="134"/>
      <c r="J75" s="134"/>
      <c r="K75" s="134"/>
      <c r="L75" s="134"/>
      <c r="M75" s="134"/>
      <c r="O75" s="123"/>
      <c r="P75" s="123"/>
      <c r="Q75" s="123"/>
      <c r="R75" s="123"/>
      <c r="S75" s="124"/>
      <c r="T75" s="123"/>
      <c r="U75" s="123"/>
      <c r="V75" s="123"/>
      <c r="W75" s="123"/>
      <c r="X75" s="123"/>
      <c r="Y75" s="123"/>
      <c r="Z75" s="123"/>
      <c r="AA75" s="123"/>
      <c r="AC75" s="32"/>
      <c r="AD75" s="32"/>
      <c r="AE75" s="32"/>
      <c r="AF75" s="32"/>
      <c r="AG75" s="32"/>
      <c r="AH75" s="32"/>
      <c r="AJ75" s="32"/>
      <c r="AK75" s="32"/>
      <c r="AL75" s="32"/>
      <c r="AM75" s="32"/>
      <c r="AO75" s="32"/>
      <c r="AP75" s="32"/>
      <c r="AQ75" s="32"/>
      <c r="AR75" s="32"/>
    </row>
    <row r="76" spans="1:44" s="122" customFormat="1" x14ac:dyDescent="0.25">
      <c r="A76" s="331"/>
      <c r="B76" s="41" t="s">
        <v>105</v>
      </c>
      <c r="C76" s="42">
        <v>0</v>
      </c>
      <c r="D76" s="41" t="s">
        <v>105</v>
      </c>
      <c r="E76" s="43">
        <f>C67+C76+C62*C20-C61*C21</f>
        <v>-180000</v>
      </c>
      <c r="F76" s="130"/>
      <c r="G76" s="134"/>
      <c r="H76" s="130"/>
      <c r="I76" s="134"/>
      <c r="J76" s="134"/>
      <c r="K76" s="134"/>
      <c r="L76" s="134"/>
      <c r="M76" s="134"/>
      <c r="O76" s="123"/>
      <c r="P76" s="123"/>
      <c r="Q76" s="123"/>
      <c r="R76" s="123"/>
      <c r="S76" s="124"/>
      <c r="T76" s="123"/>
      <c r="U76" s="123"/>
      <c r="V76" s="123"/>
      <c r="W76" s="123"/>
      <c r="X76" s="123"/>
      <c r="Y76" s="123"/>
      <c r="Z76" s="123"/>
      <c r="AA76" s="123"/>
      <c r="AC76" s="32"/>
      <c r="AD76" s="32"/>
      <c r="AE76" s="32"/>
      <c r="AF76" s="32"/>
      <c r="AG76" s="32"/>
      <c r="AH76" s="32"/>
      <c r="AJ76" s="32"/>
      <c r="AK76" s="32"/>
      <c r="AL76" s="32"/>
      <c r="AM76" s="32"/>
      <c r="AO76" s="32"/>
      <c r="AP76" s="32"/>
      <c r="AQ76" s="32"/>
      <c r="AR76" s="32"/>
    </row>
    <row r="77" spans="1:44" s="52" customFormat="1" ht="16.5" thickBot="1" x14ac:dyDescent="0.3">
      <c r="A77" s="332"/>
      <c r="B77" s="57" t="s">
        <v>108</v>
      </c>
      <c r="C77" s="58">
        <v>1</v>
      </c>
      <c r="D77" s="57" t="s">
        <v>108</v>
      </c>
      <c r="E77" s="58">
        <v>1</v>
      </c>
      <c r="F77" s="57"/>
      <c r="G77" s="135"/>
      <c r="H77" s="57"/>
      <c r="I77" s="135"/>
      <c r="J77" s="135"/>
      <c r="K77" s="135"/>
      <c r="L77" s="135"/>
      <c r="M77" s="135"/>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x14ac:dyDescent="0.25">
      <c r="A78" s="334" t="s">
        <v>325</v>
      </c>
      <c r="B78" s="68" t="s">
        <v>250</v>
      </c>
      <c r="E78" s="1" t="s">
        <v>142</v>
      </c>
    </row>
    <row r="79" spans="1:44" ht="15" customHeight="1" x14ac:dyDescent="0.25">
      <c r="A79" s="334"/>
      <c r="B79" s="12" t="s">
        <v>73</v>
      </c>
      <c r="C79" s="56">
        <f>C57</f>
        <v>600</v>
      </c>
      <c r="E79" s="319" t="s">
        <v>138</v>
      </c>
      <c r="F79" s="319"/>
      <c r="G79" s="319" t="s">
        <v>139</v>
      </c>
      <c r="H79" s="319"/>
      <c r="N79" s="34" t="s">
        <v>98</v>
      </c>
      <c r="O79" s="1"/>
      <c r="P79" s="67"/>
      <c r="Q79" s="1"/>
      <c r="R79" s="1"/>
      <c r="S79" s="34" t="s">
        <v>136</v>
      </c>
      <c r="Y79" s="94" t="s">
        <v>297</v>
      </c>
    </row>
    <row r="80" spans="1:44" ht="15" customHeight="1" x14ac:dyDescent="0.25">
      <c r="A80" s="334"/>
      <c r="B80" s="12" t="s">
        <v>74</v>
      </c>
      <c r="C80" s="56">
        <f t="shared" ref="C80" si="16">C58</f>
        <v>500</v>
      </c>
      <c r="E80" s="46" t="s">
        <v>84</v>
      </c>
      <c r="F80" s="48">
        <f>'CS_3 Z member 3'!B45</f>
        <v>5.0000000000000001E-3</v>
      </c>
      <c r="G80" s="46" t="s">
        <v>84</v>
      </c>
      <c r="H80" s="48">
        <f>'CS_3 Z member 3'!B52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x14ac:dyDescent="0.25">
      <c r="A81" s="334"/>
      <c r="B81" s="12" t="s">
        <v>75</v>
      </c>
      <c r="C81" s="56">
        <f>C59</f>
        <v>-350</v>
      </c>
      <c r="E81" s="46" t="s">
        <v>112</v>
      </c>
      <c r="F81" s="48">
        <f>'CS_3 Z member 3'!B46</f>
        <v>5.0000000000000001E-3</v>
      </c>
      <c r="G81" s="46" t="s">
        <v>112</v>
      </c>
      <c r="H81" s="48">
        <f>'CS_3 Z member 3'!B53</f>
        <v>0</v>
      </c>
      <c r="N81" s="46" t="s">
        <v>84</v>
      </c>
      <c r="O81" s="50">
        <f>ABS(F80)</f>
        <v>5.0000000000000001E-3</v>
      </c>
      <c r="P81" s="50">
        <f>ABS(F83*O95)</f>
        <v>0</v>
      </c>
      <c r="Q81" s="50">
        <f>ABS(F84*P95)</f>
        <v>2.4379868042134843E-2</v>
      </c>
      <c r="R81" s="50">
        <f>ABS(F85*Q95)</f>
        <v>4.9242116810358505E-2</v>
      </c>
      <c r="S81" s="46" t="s">
        <v>84</v>
      </c>
      <c r="T81" s="49">
        <f t="array" ref="T81:W84">ABS(MMULT(T99:W102,O81:R84))</f>
        <v>5.0000000000000001E-3</v>
      </c>
      <c r="U81" s="49">
        <v>0</v>
      </c>
      <c r="V81" s="49">
        <v>2.4379868042134843E-2</v>
      </c>
      <c r="W81" s="49">
        <v>4.9242116810358505E-2</v>
      </c>
      <c r="X81" s="70" t="s">
        <v>84</v>
      </c>
      <c r="Y81" s="49">
        <f>F87+F94</f>
        <v>0</v>
      </c>
      <c r="Z81" s="29">
        <f>F90*O95</f>
        <v>0</v>
      </c>
      <c r="AA81" s="29">
        <f>F91*P95</f>
        <v>0</v>
      </c>
      <c r="AB81" s="29">
        <f>F92*Q95</f>
        <v>0.91073070369837072</v>
      </c>
    </row>
    <row r="82" spans="1:62" ht="15" customHeight="1" x14ac:dyDescent="0.25">
      <c r="A82" s="60">
        <v>3</v>
      </c>
      <c r="B82" s="1" t="s">
        <v>76</v>
      </c>
      <c r="E82" s="46" t="s">
        <v>113</v>
      </c>
      <c r="F82" s="48">
        <f>'CS_3 Z member 3'!B47</f>
        <v>5.0000000000000001E-3</v>
      </c>
      <c r="G82" s="46" t="s">
        <v>113</v>
      </c>
      <c r="H82" s="48">
        <f>'CS_3 Z member 3'!B54</f>
        <v>0</v>
      </c>
      <c r="N82" s="46" t="s">
        <v>112</v>
      </c>
      <c r="O82" s="50">
        <f t="shared" ref="O82:O83" si="17">ABS(F81)</f>
        <v>5.0000000000000001E-3</v>
      </c>
      <c r="P82" s="50">
        <f>ABS(F83*O96)</f>
        <v>3.4424206520184165E-2</v>
      </c>
      <c r="Q82" s="50">
        <f>ABS(F84*P96)</f>
        <v>0</v>
      </c>
      <c r="R82" s="50">
        <f>ABS(F85*Q96)</f>
        <v>5.9030500808534524E-2</v>
      </c>
      <c r="S82" s="46" t="s">
        <v>112</v>
      </c>
      <c r="T82" s="49">
        <v>5.0000000000000001E-3</v>
      </c>
      <c r="U82" s="49">
        <v>3.4424206520184165E-2</v>
      </c>
      <c r="V82" s="49">
        <v>0</v>
      </c>
      <c r="W82" s="49">
        <v>5.9030500808534524E-2</v>
      </c>
      <c r="X82" s="70" t="s">
        <v>112</v>
      </c>
      <c r="Y82" s="49">
        <f t="shared" ref="Y82:Y83" si="18">F88+F95</f>
        <v>-1.8578581646031146E-2</v>
      </c>
      <c r="Z82" s="29">
        <f>F90*O96</f>
        <v>-5.9768667984250894E-2</v>
      </c>
      <c r="AA82" s="29">
        <f>F91*P96</f>
        <v>0</v>
      </c>
      <c r="AB82" s="29">
        <f>F92*Q96</f>
        <v>-1.0917664191421361</v>
      </c>
    </row>
    <row r="83" spans="1:62" ht="15" customHeight="1" x14ac:dyDescent="0.25">
      <c r="A83" s="43">
        <f>IF(A82&gt;Naxes,0,1)</f>
        <v>1</v>
      </c>
      <c r="B83" s="2" t="s">
        <v>177</v>
      </c>
      <c r="C83" s="37">
        <v>0</v>
      </c>
      <c r="E83" s="4" t="s">
        <v>85</v>
      </c>
      <c r="F83" s="48">
        <f>'CS_3 Z member 3'!B48</f>
        <v>9.8425195881641819E-5</v>
      </c>
      <c r="G83" s="4" t="s">
        <v>85</v>
      </c>
      <c r="H83" s="48">
        <f>'CS_3 Z member 3'!B55</f>
        <v>0</v>
      </c>
      <c r="N83" s="46" t="s">
        <v>113</v>
      </c>
      <c r="O83" s="50">
        <f t="shared" si="17"/>
        <v>5.0000000000000001E-3</v>
      </c>
      <c r="P83" s="50">
        <f>ABS(F83*O97)</f>
        <v>4.9229814146566762E-2</v>
      </c>
      <c r="Q83" s="50">
        <f>ABS(F84*P97)</f>
        <v>4.1746087202327392E-2</v>
      </c>
      <c r="R83" s="50">
        <f>ABS(F85*Q97)</f>
        <v>0</v>
      </c>
      <c r="S83" s="46" t="s">
        <v>113</v>
      </c>
      <c r="T83" s="49">
        <v>5.0000000000000001E-3</v>
      </c>
      <c r="U83" s="49">
        <v>4.9229814146566762E-2</v>
      </c>
      <c r="V83" s="49">
        <v>4.1746087202327392E-2</v>
      </c>
      <c r="W83" s="49">
        <v>0</v>
      </c>
      <c r="X83" s="70" t="s">
        <v>113</v>
      </c>
      <c r="Y83" s="49">
        <f t="shared" si="18"/>
        <v>0</v>
      </c>
      <c r="Z83" s="29">
        <f>F90*O97</f>
        <v>-8.5474749139890546E-2</v>
      </c>
      <c r="AA83" s="29">
        <f>F91*P97</f>
        <v>0</v>
      </c>
      <c r="AB83" s="29">
        <f>F92*Q97</f>
        <v>0</v>
      </c>
    </row>
    <row r="84" spans="1:62" ht="15" customHeight="1" x14ac:dyDescent="0.25">
      <c r="A84" s="336" t="s">
        <v>127</v>
      </c>
      <c r="B84" s="2" t="s">
        <v>179</v>
      </c>
      <c r="C84" s="37">
        <v>0</v>
      </c>
      <c r="E84" s="4" t="s">
        <v>86</v>
      </c>
      <c r="F84" s="48">
        <f>'CS_3 Z member 3'!B49</f>
        <v>6.9597122762512102E-5</v>
      </c>
      <c r="G84" s="4" t="s">
        <v>86</v>
      </c>
      <c r="H84" s="48">
        <f>'CS_3 Z member 3'!B56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x14ac:dyDescent="0.25">
      <c r="A85" s="336"/>
      <c r="B85" s="2" t="s">
        <v>178</v>
      </c>
      <c r="C85" s="37">
        <v>0</v>
      </c>
      <c r="E85" s="4" t="s">
        <v>87</v>
      </c>
      <c r="F85" s="48">
        <f>'CS_3 Z member 3'!B50</f>
        <v>9.8425194912889872E-5</v>
      </c>
      <c r="G85" s="4" t="s">
        <v>87</v>
      </c>
      <c r="H85" s="48">
        <f>'CS_3 Z member 3'!B57</f>
        <v>0</v>
      </c>
      <c r="X85" s="6"/>
    </row>
    <row r="86" spans="1:62" ht="29.1" customHeight="1" x14ac:dyDescent="0.25">
      <c r="A86" s="336"/>
      <c r="B86" s="2" t="s">
        <v>245</v>
      </c>
      <c r="C86" s="37">
        <v>-500</v>
      </c>
      <c r="E86" s="317" t="s">
        <v>303</v>
      </c>
      <c r="F86" s="317"/>
      <c r="G86" s="319" t="s">
        <v>251</v>
      </c>
      <c r="H86" s="319"/>
      <c r="I86" s="317" t="s">
        <v>306</v>
      </c>
      <c r="J86" s="317"/>
      <c r="K86" s="317" t="s">
        <v>304</v>
      </c>
      <c r="L86" s="317"/>
      <c r="N86" s="34" t="s">
        <v>99</v>
      </c>
      <c r="O86" s="1"/>
      <c r="P86" s="67"/>
      <c r="Q86" s="1"/>
      <c r="R86" s="1"/>
      <c r="S86" s="34" t="s">
        <v>137</v>
      </c>
      <c r="X86" s="6"/>
      <c r="Y86" s="94" t="s">
        <v>296</v>
      </c>
    </row>
    <row r="87" spans="1:62" ht="15" customHeight="1" x14ac:dyDescent="0.25">
      <c r="A87" s="336"/>
      <c r="B87" s="2" t="s">
        <v>77</v>
      </c>
      <c r="C87" s="38">
        <v>0</v>
      </c>
      <c r="E87" s="46" t="s">
        <v>84</v>
      </c>
      <c r="F87" s="49">
        <f>E103/IF(H87=0,1000000000000,H87)</f>
        <v>0</v>
      </c>
      <c r="G87" s="4" t="s">
        <v>117</v>
      </c>
      <c r="H87" s="29">
        <f>'CS_3 Z member 3'!B25</f>
        <v>40000000</v>
      </c>
      <c r="I87" s="4" t="s">
        <v>85</v>
      </c>
      <c r="J87" s="49">
        <f>A116*F130</f>
        <v>-1.668837292782184E-4</v>
      </c>
      <c r="K87" s="4" t="s">
        <v>85</v>
      </c>
      <c r="L87" s="139">
        <f t="array" ref="L87:L90">MMULT(MINVERSE(O99:R102),J87:J90)</f>
        <v>-1.668837292782184E-4</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x14ac:dyDescent="0.25">
      <c r="A88" s="330" t="s">
        <v>401</v>
      </c>
      <c r="B88" s="2" t="s">
        <v>107</v>
      </c>
      <c r="C88" s="37">
        <v>0</v>
      </c>
      <c r="E88" s="46" t="s">
        <v>112</v>
      </c>
      <c r="F88" s="49">
        <f t="shared" ref="F88:F89" si="19">E104/IF(H88=0,1000000000000,H88)</f>
        <v>-7.5000000000000002E-6</v>
      </c>
      <c r="G88" s="4" t="s">
        <v>118</v>
      </c>
      <c r="H88" s="29">
        <f>'CS_3 Z member 3'!B26</f>
        <v>40000000</v>
      </c>
      <c r="I88" s="4" t="s">
        <v>86</v>
      </c>
      <c r="J88" s="49">
        <f>A116*F131</f>
        <v>0</v>
      </c>
      <c r="K88" s="4" t="s">
        <v>86</v>
      </c>
      <c r="L88" s="139">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0</v>
      </c>
      <c r="Z88" s="29">
        <f t="array" ref="Z88:Z91">MMULT(T99:W102,Z81:Z84)</f>
        <v>0</v>
      </c>
      <c r="AA88" s="29">
        <f t="array" ref="AA88:AA91">MMULT(T99:W102,AA81:AA84)</f>
        <v>0</v>
      </c>
      <c r="AB88" s="29">
        <f t="array" ref="AB88:AB91">MMULT(T99:W102,AB81:AB84)</f>
        <v>0.91073070369837072</v>
      </c>
    </row>
    <row r="89" spans="1:62" ht="15" customHeight="1" x14ac:dyDescent="0.25">
      <c r="A89" s="331"/>
      <c r="B89" s="34" t="s">
        <v>78</v>
      </c>
      <c r="E89" s="46" t="s">
        <v>113</v>
      </c>
      <c r="F89" s="49">
        <f t="shared" si="19"/>
        <v>0</v>
      </c>
      <c r="G89" s="4" t="s">
        <v>119</v>
      </c>
      <c r="H89" s="29">
        <f>'CS_3 Z member 3'!B27</f>
        <v>10075398.223686155</v>
      </c>
      <c r="I89" s="4" t="s">
        <v>87</v>
      </c>
      <c r="J89" s="49">
        <f>A116*F132</f>
        <v>-1.8192079979785613E-3</v>
      </c>
      <c r="K89" s="4" t="s">
        <v>87</v>
      </c>
      <c r="L89" s="139">
        <v>-1.8192079979785613E-3</v>
      </c>
      <c r="N89" s="46" t="s">
        <v>112</v>
      </c>
      <c r="O89" s="50">
        <f>H81</f>
        <v>0</v>
      </c>
      <c r="P89" s="50">
        <f>H83*O96</f>
        <v>0</v>
      </c>
      <c r="Q89" s="50">
        <f>H84*P96</f>
        <v>0</v>
      </c>
      <c r="R89" s="50">
        <f>H85*Q96</f>
        <v>0</v>
      </c>
      <c r="S89" s="46" t="s">
        <v>112</v>
      </c>
      <c r="T89" s="50">
        <v>0</v>
      </c>
      <c r="U89" s="50">
        <v>0</v>
      </c>
      <c r="V89" s="50">
        <v>0</v>
      </c>
      <c r="W89" s="50">
        <v>0</v>
      </c>
      <c r="X89" s="70" t="s">
        <v>112</v>
      </c>
      <c r="Y89" s="29">
        <v>-1.8578581646031146E-2</v>
      </c>
      <c r="Z89" s="29">
        <v>-5.9768667984250894E-2</v>
      </c>
      <c r="AA89" s="29">
        <v>0</v>
      </c>
      <c r="AB89" s="29">
        <v>-1.0917664191421361</v>
      </c>
    </row>
    <row r="90" spans="1:62" ht="15" customHeight="1" x14ac:dyDescent="0.25">
      <c r="A90" s="331"/>
      <c r="B90" s="12" t="s">
        <v>79</v>
      </c>
      <c r="C90" s="31">
        <f>AC99+C86</f>
        <v>100</v>
      </c>
      <c r="E90" s="4" t="s">
        <v>85</v>
      </c>
      <c r="F90" s="49">
        <f>E107/IF(H90=0,1000000000000,H90)+L87</f>
        <v>-1.70889715366001E-4</v>
      </c>
      <c r="G90" s="46" t="s">
        <v>8</v>
      </c>
      <c r="H90" s="29">
        <f>'CS_3 Z member 3'!B29</f>
        <v>26210775000</v>
      </c>
      <c r="I90" s="4" t="s">
        <v>305</v>
      </c>
      <c r="J90" s="29">
        <v>1</v>
      </c>
      <c r="K90" s="4" t="s">
        <v>305</v>
      </c>
      <c r="L90" s="139">
        <v>1</v>
      </c>
      <c r="N90" s="46" t="s">
        <v>113</v>
      </c>
      <c r="O90" s="50">
        <f>H82</f>
        <v>0</v>
      </c>
      <c r="P90" s="50">
        <f>H83*O97</f>
        <v>0</v>
      </c>
      <c r="Q90" s="50">
        <f>H84*P97</f>
        <v>0</v>
      </c>
      <c r="R90" s="50">
        <f>H85*Q97</f>
        <v>0</v>
      </c>
      <c r="S90" s="46" t="s">
        <v>113</v>
      </c>
      <c r="T90" s="50">
        <v>0</v>
      </c>
      <c r="U90" s="50">
        <v>0</v>
      </c>
      <c r="V90" s="50">
        <v>0</v>
      </c>
      <c r="W90" s="50">
        <v>0</v>
      </c>
      <c r="X90" s="70" t="s">
        <v>113</v>
      </c>
      <c r="Y90" s="29">
        <v>0</v>
      </c>
      <c r="Z90" s="29">
        <v>-8.5474749139890546E-2</v>
      </c>
      <c r="AA90" s="29">
        <v>0</v>
      </c>
      <c r="AB90" s="29">
        <v>0</v>
      </c>
    </row>
    <row r="91" spans="1:62" ht="15" customHeight="1" x14ac:dyDescent="0.25">
      <c r="A91" s="331"/>
      <c r="B91" s="12" t="s">
        <v>80</v>
      </c>
      <c r="C91" s="31">
        <f>AC100+C87</f>
        <v>500</v>
      </c>
      <c r="E91" s="4" t="s">
        <v>86</v>
      </c>
      <c r="F91" s="49">
        <f t="shared" ref="F91:F92" si="20">E108/IF(H91=0,1000000000000,H91)+L88</f>
        <v>0</v>
      </c>
      <c r="G91" s="46" t="s">
        <v>120</v>
      </c>
      <c r="H91" s="29">
        <f>'CS_3 Z member 3'!B30</f>
        <v>134791666.66666666</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x14ac:dyDescent="0.25">
      <c r="A92" s="331"/>
      <c r="B92" s="12" t="s">
        <v>81</v>
      </c>
      <c r="C92" s="31">
        <f>AC101+C88</f>
        <v>-350</v>
      </c>
      <c r="E92" s="4" t="s">
        <v>87</v>
      </c>
      <c r="F92" s="49">
        <f t="shared" si="20"/>
        <v>-1.8203694891891647E-3</v>
      </c>
      <c r="G92" s="46" t="s">
        <v>116</v>
      </c>
      <c r="H92" s="29">
        <f>'CS_3 Z member 3'!B31</f>
        <v>154973191666.66666</v>
      </c>
      <c r="AB92" s="5"/>
      <c r="AU92" s="5" t="s">
        <v>67</v>
      </c>
      <c r="AZ92" s="5" t="s">
        <v>92</v>
      </c>
      <c r="BE92" s="5" t="s">
        <v>97</v>
      </c>
      <c r="BJ92" s="5" t="s">
        <v>97</v>
      </c>
    </row>
    <row r="93" spans="1:62" ht="31.5" x14ac:dyDescent="0.25">
      <c r="A93" s="331"/>
      <c r="B93" s="69" t="s">
        <v>106</v>
      </c>
      <c r="E93" s="319" t="s">
        <v>294</v>
      </c>
      <c r="F93" s="333"/>
      <c r="G93" s="327" t="s">
        <v>293</v>
      </c>
      <c r="H93" s="328"/>
      <c r="I93" s="328"/>
      <c r="J93" s="328"/>
      <c r="K93" s="328"/>
      <c r="L93" s="329"/>
      <c r="M93" s="93" t="s">
        <v>295</v>
      </c>
      <c r="N93" s="84" t="s">
        <v>248</v>
      </c>
      <c r="AE93" s="45" t="s">
        <v>227</v>
      </c>
      <c r="AF93" s="91">
        <v>1E-3</v>
      </c>
      <c r="AG93" s="45"/>
      <c r="AH93" s="45"/>
      <c r="AI93" s="45"/>
      <c r="AJ93" s="45" t="s">
        <v>93</v>
      </c>
      <c r="AK93" s="92">
        <v>1E-3</v>
      </c>
      <c r="AL93" s="7"/>
      <c r="AM93" s="7"/>
      <c r="AN93" s="45"/>
      <c r="AO93" s="45" t="s">
        <v>226</v>
      </c>
      <c r="AP93" s="91">
        <v>1E-3</v>
      </c>
      <c r="AU93" s="7" t="s">
        <v>0</v>
      </c>
      <c r="AV93" s="7" t="s">
        <v>1</v>
      </c>
      <c r="AW93" s="7" t="s">
        <v>2</v>
      </c>
      <c r="AZ93" s="7" t="s">
        <v>0</v>
      </c>
      <c r="BA93" s="7" t="s">
        <v>1</v>
      </c>
      <c r="BB93" s="7" t="s">
        <v>2</v>
      </c>
      <c r="BE93" s="7" t="s">
        <v>0</v>
      </c>
      <c r="BF93" s="7" t="s">
        <v>1</v>
      </c>
      <c r="BG93" s="7" t="s">
        <v>2</v>
      </c>
    </row>
    <row r="94" spans="1:62" ht="15" customHeight="1" x14ac:dyDescent="0.25">
      <c r="A94" s="331"/>
      <c r="B94" s="41" t="s">
        <v>100</v>
      </c>
      <c r="C94" s="43">
        <f t="array" ref="C94:C97">MMULT(O66:R69,E70:E73)</f>
        <v>0</v>
      </c>
      <c r="E94" s="46" t="s">
        <v>84</v>
      </c>
      <c r="F94" s="49">
        <f t="array" ref="F94:F99">MMULT(G94:L99,M94:M99)</f>
        <v>0</v>
      </c>
      <c r="G94" s="132">
        <f>'CS_3 Z member 3'!G5</f>
        <v>6.1903605486770484E-5</v>
      </c>
      <c r="H94" s="132">
        <f>'CS_3 Z member 3'!H5</f>
        <v>0</v>
      </c>
      <c r="I94" s="132">
        <f>'CS_3 Z member 3'!I5</f>
        <v>0</v>
      </c>
      <c r="J94" s="132">
        <f>'CS_3 Z member 3'!J5</f>
        <v>0</v>
      </c>
      <c r="K94" s="132">
        <f>'CS_3 Z member 3'!K5</f>
        <v>0</v>
      </c>
      <c r="L94" s="132">
        <f>'CS_3 Z member 3'!L5</f>
        <v>0</v>
      </c>
      <c r="M94" s="29">
        <f>C94</f>
        <v>0</v>
      </c>
      <c r="O94" s="7" t="s">
        <v>4</v>
      </c>
      <c r="P94" s="26" t="s">
        <v>5</v>
      </c>
      <c r="Q94" s="26" t="s">
        <v>6</v>
      </c>
      <c r="R94" s="26"/>
      <c r="S94" s="26"/>
      <c r="T94" s="26"/>
      <c r="U94" s="26"/>
      <c r="V94" s="26"/>
      <c r="W94" s="26"/>
      <c r="X94" s="26"/>
      <c r="Y94" s="26"/>
      <c r="Z94" s="26"/>
      <c r="AA94" s="26"/>
      <c r="AB94" t="s">
        <v>66</v>
      </c>
      <c r="AC94" s="29">
        <f>C79</f>
        <v>600</v>
      </c>
      <c r="AD94" s="29"/>
      <c r="AE94" s="78">
        <v>1</v>
      </c>
      <c r="AF94" s="49">
        <v>0</v>
      </c>
      <c r="AG94" s="49">
        <v>0</v>
      </c>
      <c r="AH94" s="79">
        <v>0</v>
      </c>
      <c r="AI94" s="80"/>
      <c r="AJ94" s="49">
        <f>COS(AK93)</f>
        <v>0.99999950000004167</v>
      </c>
      <c r="AK94" s="49">
        <v>0</v>
      </c>
      <c r="AL94" s="49">
        <f>-AJ96</f>
        <v>9.9999983333334168E-4</v>
      </c>
      <c r="AM94" s="49">
        <v>0</v>
      </c>
      <c r="AN94" s="80"/>
      <c r="AO94" s="49">
        <f>COS(AP93)</f>
        <v>0.99999950000004167</v>
      </c>
      <c r="AP94" s="49">
        <f>-AO95</f>
        <v>-9.9999983333334168E-4</v>
      </c>
      <c r="AQ94" s="49">
        <v>0</v>
      </c>
      <c r="AR94" s="49">
        <v>0</v>
      </c>
      <c r="AS94" s="80"/>
      <c r="AT94" s="29" t="s">
        <v>63</v>
      </c>
      <c r="AU94" s="49">
        <f t="array" ref="AU94:AU97">MMULT(AE94:AH97,$AC94:$AC97)</f>
        <v>600</v>
      </c>
      <c r="AV94" s="49">
        <f>AU94-$AC94</f>
        <v>0</v>
      </c>
      <c r="AW94" s="49">
        <f>AV94/AF93</f>
        <v>0</v>
      </c>
      <c r="AX94" s="80"/>
      <c r="AY94" s="29" t="s">
        <v>63</v>
      </c>
      <c r="AZ94" s="49">
        <f t="array" ref="AZ94:AZ97">MMULT(AJ94:AM97,$AC94:$AC97)</f>
        <v>599.64970005835835</v>
      </c>
      <c r="BA94" s="49">
        <f>AZ94-$AC94</f>
        <v>-0.35029994164165146</v>
      </c>
      <c r="BB94" s="49">
        <f>BA94/AK93</f>
        <v>-350.29994164165146</v>
      </c>
      <c r="BC94" s="80"/>
      <c r="BD94" s="29" t="s">
        <v>63</v>
      </c>
      <c r="BE94" s="49">
        <f t="array" ref="BE94:BE97">MMULT(AO94:AR97,$AC94:$AC97)</f>
        <v>599.49970008335833</v>
      </c>
      <c r="BF94" s="49">
        <f>BE94-$AC94</f>
        <v>-0.50029991664166573</v>
      </c>
      <c r="BG94" s="49">
        <f>BF94/AP93</f>
        <v>-500.29991664166573</v>
      </c>
    </row>
    <row r="95" spans="1:62" x14ac:dyDescent="0.25">
      <c r="A95" s="331"/>
      <c r="B95" s="41" t="s">
        <v>101</v>
      </c>
      <c r="C95" s="43">
        <v>-300</v>
      </c>
      <c r="E95" s="46" t="s">
        <v>112</v>
      </c>
      <c r="F95" s="49">
        <v>-1.8571081646031145E-2</v>
      </c>
      <c r="G95" s="132">
        <f>'CS_3 Z member 3'!G6</f>
        <v>0</v>
      </c>
      <c r="H95" s="132">
        <f>'CS_3 Z member 3'!H6</f>
        <v>6.1903605486770484E-5</v>
      </c>
      <c r="I95" s="132">
        <f>'CS_3 Z member 3'!I6</f>
        <v>0</v>
      </c>
      <c r="J95" s="132">
        <f>'CS_3 Z member 3'!J6</f>
        <v>0</v>
      </c>
      <c r="K95" s="132">
        <f>'CS_3 Z member 3'!K6</f>
        <v>0</v>
      </c>
      <c r="L95" s="132">
        <f>'CS_3 Z member 3'!L6</f>
        <v>0</v>
      </c>
      <c r="M95" s="29">
        <f t="shared" ref="M95:M96" si="21">C95</f>
        <v>-300</v>
      </c>
      <c r="N95" s="46" t="s">
        <v>84</v>
      </c>
      <c r="O95" s="31">
        <f>AW94</f>
        <v>0</v>
      </c>
      <c r="P95" s="31">
        <f>BB94</f>
        <v>-350.29994164165146</v>
      </c>
      <c r="Q95" s="31">
        <f>BG94</f>
        <v>-500.29991664166573</v>
      </c>
      <c r="AB95" t="s">
        <v>71</v>
      </c>
      <c r="AC95" s="29">
        <f>C80</f>
        <v>500</v>
      </c>
      <c r="AD95" s="29"/>
      <c r="AE95" s="78">
        <v>0</v>
      </c>
      <c r="AF95" s="49">
        <f>COS(AF93)</f>
        <v>0.99999950000004167</v>
      </c>
      <c r="AG95" s="49">
        <f>-SIN(AF93)</f>
        <v>-9.9999983333334168E-4</v>
      </c>
      <c r="AH95" s="79">
        <v>0</v>
      </c>
      <c r="AI95" s="80"/>
      <c r="AJ95" s="49">
        <v>0</v>
      </c>
      <c r="AK95" s="49">
        <v>1</v>
      </c>
      <c r="AL95" s="49">
        <v>0</v>
      </c>
      <c r="AM95" s="49">
        <v>0</v>
      </c>
      <c r="AN95" s="80"/>
      <c r="AO95" s="49">
        <f>SIN(AP93)</f>
        <v>9.9999983333334168E-4</v>
      </c>
      <c r="AP95" s="49">
        <f>AO94</f>
        <v>0.99999950000004167</v>
      </c>
      <c r="AQ95" s="49">
        <v>0</v>
      </c>
      <c r="AR95" s="49">
        <v>0</v>
      </c>
      <c r="AS95" s="80"/>
      <c r="AT95" s="29" t="s">
        <v>64</v>
      </c>
      <c r="AU95" s="49">
        <v>500.34974994168749</v>
      </c>
      <c r="AV95" s="49">
        <f>AU95-$AC95</f>
        <v>0.34974994168749163</v>
      </c>
      <c r="AW95" s="49">
        <f>AV95/AF93</f>
        <v>349.74994168749163</v>
      </c>
      <c r="AX95" s="80"/>
      <c r="AY95" s="29" t="s">
        <v>64</v>
      </c>
      <c r="AZ95" s="49">
        <v>500</v>
      </c>
      <c r="BA95" s="49">
        <f>AZ95-$AC95</f>
        <v>0</v>
      </c>
      <c r="BB95" s="49">
        <f>BA95/AK93</f>
        <v>0</v>
      </c>
      <c r="BC95" s="80"/>
      <c r="BD95" s="29" t="s">
        <v>64</v>
      </c>
      <c r="BE95" s="49">
        <v>500.59974990002081</v>
      </c>
      <c r="BF95" s="49">
        <f>BE95-$AC95</f>
        <v>0.59974990002081086</v>
      </c>
      <c r="BG95" s="49">
        <f>BF95/AP93</f>
        <v>599.74990002081086</v>
      </c>
    </row>
    <row r="96" spans="1:62" x14ac:dyDescent="0.25">
      <c r="A96" s="331"/>
      <c r="B96" s="41" t="s">
        <v>102</v>
      </c>
      <c r="C96" s="43">
        <v>0</v>
      </c>
      <c r="E96" s="46" t="s">
        <v>113</v>
      </c>
      <c r="F96" s="49">
        <v>0</v>
      </c>
      <c r="G96" s="132">
        <f>'CS_3 Z member 3'!G7</f>
        <v>0</v>
      </c>
      <c r="H96" s="132">
        <f>'CS_3 Z member 3'!H7</f>
        <v>0</v>
      </c>
      <c r="I96" s="132">
        <f>'CS_3 Z member 3'!I7</f>
        <v>1.3040891466398317E-6</v>
      </c>
      <c r="J96" s="132">
        <f>'CS_3 Z member 3'!J7</f>
        <v>0</v>
      </c>
      <c r="K96" s="132">
        <f>'CS_3 Z member 3'!K7</f>
        <v>0</v>
      </c>
      <c r="L96" s="132">
        <f>'CS_3 Z member 3'!L7</f>
        <v>0</v>
      </c>
      <c r="M96" s="29">
        <f t="shared" si="21"/>
        <v>0</v>
      </c>
      <c r="N96" s="46" t="s">
        <v>112</v>
      </c>
      <c r="O96" s="31">
        <f t="shared" ref="O96:O97" si="22">AW95</f>
        <v>349.74994168749163</v>
      </c>
      <c r="P96" s="31">
        <f t="shared" ref="P96:P97" si="23">BB95</f>
        <v>0</v>
      </c>
      <c r="Q96" s="31">
        <f t="shared" ref="Q96:Q97" si="24">BG95</f>
        <v>599.74990002081086</v>
      </c>
      <c r="AB96" t="s">
        <v>72</v>
      </c>
      <c r="AC96" s="29">
        <f>C81</f>
        <v>-350</v>
      </c>
      <c r="AD96" s="29"/>
      <c r="AE96" s="78">
        <v>0</v>
      </c>
      <c r="AF96" s="49">
        <f>-AG95</f>
        <v>9.9999983333334168E-4</v>
      </c>
      <c r="AG96" s="49">
        <f>AF95</f>
        <v>0.99999950000004167</v>
      </c>
      <c r="AH96" s="79">
        <v>0</v>
      </c>
      <c r="AI96" s="80"/>
      <c r="AJ96" s="49">
        <f>-SIN(AK93)</f>
        <v>-9.9999983333334168E-4</v>
      </c>
      <c r="AK96" s="49">
        <v>0</v>
      </c>
      <c r="AL96" s="49">
        <f>COS(AK93)</f>
        <v>0.99999950000004167</v>
      </c>
      <c r="AM96" s="49">
        <v>0</v>
      </c>
      <c r="AN96" s="80"/>
      <c r="AO96" s="49">
        <v>0</v>
      </c>
      <c r="AP96" s="49">
        <v>0</v>
      </c>
      <c r="AQ96" s="49">
        <v>1</v>
      </c>
      <c r="AR96" s="49">
        <v>0</v>
      </c>
      <c r="AS96" s="80"/>
      <c r="AT96" s="29" t="s">
        <v>65</v>
      </c>
      <c r="AU96" s="49">
        <v>-349.4998250833479</v>
      </c>
      <c r="AV96" s="49">
        <f>AU96-$AC96</f>
        <v>0.50017491665209945</v>
      </c>
      <c r="AW96" s="49">
        <f>AV96/AF93</f>
        <v>500.17491665209945</v>
      </c>
      <c r="AX96" s="80"/>
      <c r="AY96" s="29" t="s">
        <v>65</v>
      </c>
      <c r="AZ96" s="49">
        <v>-350.5998249000146</v>
      </c>
      <c r="BA96" s="49">
        <f>AZ96-$AC96</f>
        <v>-0.5998249000145961</v>
      </c>
      <c r="BB96" s="49">
        <f>BA96/AK93</f>
        <v>-599.8249000145961</v>
      </c>
      <c r="BC96" s="80"/>
      <c r="BD96" s="29" t="s">
        <v>65</v>
      </c>
      <c r="BE96" s="49">
        <v>-350</v>
      </c>
      <c r="BF96" s="49">
        <f>BE96-$AC96</f>
        <v>0</v>
      </c>
      <c r="BG96" s="49">
        <f>BF96/AP93</f>
        <v>0</v>
      </c>
    </row>
    <row r="97" spans="1:59" ht="15" customHeight="1" x14ac:dyDescent="0.25">
      <c r="A97" s="331"/>
      <c r="B97" s="41" t="s">
        <v>108</v>
      </c>
      <c r="C97" s="43">
        <v>1</v>
      </c>
      <c r="E97" s="4" t="s">
        <v>85</v>
      </c>
      <c r="F97" s="49">
        <v>0</v>
      </c>
      <c r="G97" s="132">
        <f>'CS_3 Z member 3'!G8</f>
        <v>0</v>
      </c>
      <c r="H97" s="132">
        <f>'CS_3 Z member 3'!H8</f>
        <v>0</v>
      </c>
      <c r="I97" s="132">
        <f>'CS_3 Z member 3'!I8</f>
        <v>0</v>
      </c>
      <c r="J97" s="132">
        <f>'CS_3 Z member 3'!J8</f>
        <v>2.5266777749702239E-9</v>
      </c>
      <c r="K97" s="132">
        <f>'CS_3 Z member 3'!K8</f>
        <v>0</v>
      </c>
      <c r="L97" s="132">
        <f>'CS_3 Z member 3'!L8</f>
        <v>0</v>
      </c>
      <c r="M97" s="29">
        <f>C98</f>
        <v>0</v>
      </c>
      <c r="N97" s="46" t="s">
        <v>113</v>
      </c>
      <c r="O97" s="31">
        <f t="shared" si="22"/>
        <v>500.17491665209945</v>
      </c>
      <c r="P97" s="31">
        <f t="shared" si="23"/>
        <v>-599.8249000145961</v>
      </c>
      <c r="Q97" s="31">
        <f t="shared" si="24"/>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x14ac:dyDescent="0.25">
      <c r="A98" s="331"/>
      <c r="B98" s="41" t="s">
        <v>103</v>
      </c>
      <c r="C98" s="43">
        <f t="array" ref="C98:C101">MMULT(O66:R69,E74:E77)</f>
        <v>0</v>
      </c>
      <c r="E98" s="4" t="s">
        <v>86</v>
      </c>
      <c r="F98" s="49">
        <v>0</v>
      </c>
      <c r="G98" s="132">
        <f>'CS_3 Z member 3'!G9</f>
        <v>0</v>
      </c>
      <c r="H98" s="132">
        <f>'CS_3 Z member 3'!H9</f>
        <v>0</v>
      </c>
      <c r="I98" s="132">
        <f>'CS_3 Z member 3'!I9</f>
        <v>0</v>
      </c>
      <c r="J98" s="132">
        <f>'CS_3 Z member 3'!J9</f>
        <v>0</v>
      </c>
      <c r="K98" s="132">
        <f>'CS_3 Z member 3'!K9</f>
        <v>2.5266777749702239E-9</v>
      </c>
      <c r="L98" s="132">
        <f>'CS_3 Z member 3'!L9</f>
        <v>0</v>
      </c>
      <c r="M98" s="29">
        <f>C99</f>
        <v>0</v>
      </c>
      <c r="O98" s="3" t="s">
        <v>82</v>
      </c>
      <c r="T98" s="3" t="s">
        <v>83</v>
      </c>
      <c r="AE98" t="s">
        <v>95</v>
      </c>
      <c r="AJ98" t="s">
        <v>94</v>
      </c>
      <c r="AO98" t="s">
        <v>96</v>
      </c>
    </row>
    <row r="99" spans="1:59" ht="15" customHeight="1" x14ac:dyDescent="0.25">
      <c r="A99" s="331"/>
      <c r="B99" s="41" t="s">
        <v>104</v>
      </c>
      <c r="C99" s="43">
        <v>0</v>
      </c>
      <c r="E99" s="4" t="s">
        <v>87</v>
      </c>
      <c r="F99" s="49">
        <v>-2.7853258548932114E-5</v>
      </c>
      <c r="G99" s="132">
        <f>'CS_3 Z member 3'!G10</f>
        <v>0</v>
      </c>
      <c r="H99" s="132">
        <f>'CS_3 Z member 3'!H10</f>
        <v>0</v>
      </c>
      <c r="I99" s="132">
        <f>'CS_3 Z member 3'!I10</f>
        <v>0</v>
      </c>
      <c r="J99" s="132">
        <f>'CS_3 Z member 3'!J10</f>
        <v>0</v>
      </c>
      <c r="K99" s="132">
        <f>'CS_3 Z member 3'!K10</f>
        <v>0</v>
      </c>
      <c r="L99" s="132">
        <f>'CS_3 Z member 3'!L10</f>
        <v>1.5474032527184508E-10</v>
      </c>
      <c r="M99" s="29">
        <f>C100</f>
        <v>-180000</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600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x14ac:dyDescent="0.25">
      <c r="A100" s="331"/>
      <c r="B100" s="41" t="s">
        <v>105</v>
      </c>
      <c r="C100" s="43">
        <v>-180000</v>
      </c>
      <c r="G100" s="111"/>
      <c r="H100" s="111"/>
      <c r="I100" s="111"/>
      <c r="J100" s="125"/>
      <c r="K100" s="125"/>
      <c r="L100" s="125"/>
      <c r="M100" s="125"/>
      <c r="O100" s="31">
        <v>0</v>
      </c>
      <c r="P100" s="31">
        <v>1</v>
      </c>
      <c r="Q100" s="31">
        <v>0</v>
      </c>
      <c r="R100" s="31">
        <v>0</v>
      </c>
      <c r="S100" s="11"/>
      <c r="T100" s="31">
        <v>0</v>
      </c>
      <c r="U100" s="31">
        <v>1</v>
      </c>
      <c r="V100" s="31">
        <v>0</v>
      </c>
      <c r="W100" s="31">
        <v>0</v>
      </c>
      <c r="X100" s="31"/>
      <c r="Y100" s="31"/>
      <c r="Z100" s="31"/>
      <c r="AA100" s="31"/>
      <c r="AB100" t="s">
        <v>69</v>
      </c>
      <c r="AC100" s="29">
        <v>500</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x14ac:dyDescent="0.25">
      <c r="A101" s="331"/>
      <c r="B101" s="41" t="s">
        <v>108</v>
      </c>
      <c r="C101" s="43">
        <v>1</v>
      </c>
      <c r="G101" s="111"/>
      <c r="H101" s="111"/>
      <c r="I101" s="111"/>
      <c r="J101" s="125"/>
      <c r="K101" s="125"/>
      <c r="L101" s="125"/>
      <c r="M101" s="125"/>
      <c r="O101" s="31">
        <v>0</v>
      </c>
      <c r="P101" s="31">
        <v>0</v>
      </c>
      <c r="Q101" s="31">
        <v>1</v>
      </c>
      <c r="R101" s="31">
        <v>0</v>
      </c>
      <c r="S101" s="11"/>
      <c r="T101" s="31">
        <v>0</v>
      </c>
      <c r="U101" s="31">
        <v>0</v>
      </c>
      <c r="V101" s="31">
        <v>1</v>
      </c>
      <c r="W101" s="31">
        <v>0</v>
      </c>
      <c r="X101" s="31"/>
      <c r="Y101" s="31"/>
      <c r="Z101" s="31"/>
      <c r="AA101" s="31"/>
      <c r="AB101" t="s">
        <v>70</v>
      </c>
      <c r="AC101" s="29">
        <v>-350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2" customFormat="1" x14ac:dyDescent="0.25">
      <c r="A102" s="331"/>
      <c r="B102" s="77" t="s">
        <v>183</v>
      </c>
      <c r="C102"/>
      <c r="D102" s="89" t="s">
        <v>246</v>
      </c>
      <c r="E102"/>
      <c r="F102"/>
      <c r="G102" s="136"/>
      <c r="H102" s="127"/>
      <c r="I102" s="127"/>
      <c r="J102" s="134"/>
      <c r="K102" s="134"/>
      <c r="L102" s="134"/>
      <c r="M102" s="134"/>
      <c r="O102" s="123">
        <v>0</v>
      </c>
      <c r="P102" s="123">
        <v>0</v>
      </c>
      <c r="Q102" s="123">
        <v>0</v>
      </c>
      <c r="R102" s="123">
        <v>1</v>
      </c>
      <c r="S102" s="124"/>
      <c r="T102" s="123">
        <v>0</v>
      </c>
      <c r="U102" s="123">
        <v>0</v>
      </c>
      <c r="V102" s="123">
        <v>0</v>
      </c>
      <c r="W102" s="123">
        <v>1</v>
      </c>
      <c r="X102" s="123"/>
      <c r="Y102" s="123"/>
      <c r="Z102" s="123"/>
      <c r="AA102" s="123"/>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2" customFormat="1" x14ac:dyDescent="0.25">
      <c r="A103" s="331"/>
      <c r="B103" s="41" t="s">
        <v>100</v>
      </c>
      <c r="C103" s="42">
        <v>0</v>
      </c>
      <c r="D103" s="41" t="s">
        <v>100</v>
      </c>
      <c r="E103" s="43">
        <f>C94+C103</f>
        <v>0</v>
      </c>
      <c r="G103" s="127"/>
      <c r="H103" s="127"/>
      <c r="I103" s="127"/>
      <c r="J103" s="134"/>
      <c r="K103" s="134"/>
      <c r="L103" s="134"/>
      <c r="M103" s="134"/>
      <c r="O103" s="123"/>
      <c r="P103" s="123"/>
      <c r="Q103" s="123"/>
      <c r="R103" s="123"/>
      <c r="S103" s="124"/>
      <c r="T103" s="123"/>
      <c r="U103" s="123"/>
      <c r="V103" s="123"/>
      <c r="W103" s="123"/>
      <c r="X103" s="123"/>
      <c r="Y103" s="123"/>
      <c r="Z103" s="123"/>
      <c r="AA103" s="123"/>
      <c r="AC103" s="32"/>
      <c r="AD103" s="32"/>
      <c r="AE103" s="32"/>
      <c r="AF103" s="32"/>
      <c r="AG103" s="32"/>
      <c r="AH103" s="32"/>
      <c r="AJ103" s="32"/>
      <c r="AK103" s="32"/>
      <c r="AL103" s="32"/>
      <c r="AM103" s="32"/>
      <c r="AO103" s="32"/>
      <c r="AP103" s="32"/>
      <c r="AQ103" s="32"/>
      <c r="AR103" s="32"/>
    </row>
    <row r="104" spans="1:59" s="122" customFormat="1" x14ac:dyDescent="0.25">
      <c r="A104" s="331"/>
      <c r="B104" s="41" t="s">
        <v>101</v>
      </c>
      <c r="C104" s="42">
        <v>0</v>
      </c>
      <c r="D104" s="41" t="s">
        <v>101</v>
      </c>
      <c r="E104" s="43">
        <f>C95+C104</f>
        <v>-300</v>
      </c>
      <c r="G104" s="127"/>
      <c r="H104" s="127"/>
      <c r="I104" s="127"/>
      <c r="J104" s="134"/>
      <c r="K104" s="134"/>
      <c r="L104" s="134"/>
      <c r="M104" s="134"/>
      <c r="O104" s="123"/>
      <c r="P104" s="123"/>
      <c r="Q104" s="123"/>
      <c r="R104" s="123"/>
      <c r="S104" s="124"/>
      <c r="T104" s="123"/>
      <c r="U104" s="123"/>
      <c r="V104" s="123"/>
      <c r="W104" s="123"/>
      <c r="X104" s="123"/>
      <c r="Y104" s="123"/>
      <c r="Z104" s="123"/>
      <c r="AA104" s="123"/>
      <c r="AC104" s="32"/>
      <c r="AD104" s="32"/>
      <c r="AE104" s="32"/>
      <c r="AF104" s="32"/>
      <c r="AG104" s="32"/>
      <c r="AH104" s="32"/>
      <c r="AJ104" s="32"/>
      <c r="AK104" s="32"/>
      <c r="AL104" s="32"/>
      <c r="AM104" s="32"/>
      <c r="AO104" s="32"/>
      <c r="AP104" s="32"/>
      <c r="AQ104" s="32"/>
      <c r="AR104" s="32"/>
    </row>
    <row r="105" spans="1:59" s="122" customFormat="1" x14ac:dyDescent="0.25">
      <c r="A105" s="331"/>
      <c r="B105" s="41" t="s">
        <v>102</v>
      </c>
      <c r="C105" s="42">
        <v>0</v>
      </c>
      <c r="D105" s="41" t="s">
        <v>102</v>
      </c>
      <c r="E105" s="43">
        <f>C96+C105</f>
        <v>0</v>
      </c>
      <c r="G105" s="127"/>
      <c r="H105" s="127"/>
      <c r="I105" s="127"/>
      <c r="J105" s="134"/>
      <c r="K105" s="134"/>
      <c r="L105" s="134"/>
      <c r="M105" s="134"/>
      <c r="O105" s="123"/>
      <c r="P105" s="123"/>
      <c r="Q105" s="123"/>
      <c r="R105" s="123"/>
      <c r="S105" s="124"/>
      <c r="T105" s="123"/>
      <c r="U105" s="123"/>
      <c r="V105" s="123"/>
      <c r="W105" s="123"/>
      <c r="X105" s="123"/>
      <c r="Y105" s="123"/>
      <c r="Z105" s="123"/>
      <c r="AA105" s="123"/>
      <c r="AC105" s="32"/>
      <c r="AD105" s="32"/>
      <c r="AE105" s="32"/>
      <c r="AF105" s="32"/>
      <c r="AG105" s="32"/>
      <c r="AH105" s="32"/>
      <c r="AJ105" s="32"/>
      <c r="AK105" s="32"/>
      <c r="AL105" s="32"/>
      <c r="AM105" s="32"/>
      <c r="AO105" s="32"/>
      <c r="AP105" s="32"/>
      <c r="AQ105" s="32"/>
      <c r="AR105" s="32"/>
    </row>
    <row r="106" spans="1:59" s="122" customFormat="1" x14ac:dyDescent="0.25">
      <c r="A106" s="331"/>
      <c r="B106" s="130" t="s">
        <v>108</v>
      </c>
      <c r="C106" s="131">
        <v>1</v>
      </c>
      <c r="D106" s="130" t="s">
        <v>108</v>
      </c>
      <c r="E106" s="131">
        <v>1</v>
      </c>
      <c r="G106" s="127"/>
      <c r="H106" s="127"/>
      <c r="I106" s="127"/>
      <c r="J106" s="134"/>
      <c r="K106" s="134"/>
      <c r="L106" s="134"/>
      <c r="M106" s="134"/>
      <c r="O106" s="123"/>
      <c r="P106" s="123"/>
      <c r="Q106" s="123"/>
      <c r="R106" s="123"/>
      <c r="S106" s="124"/>
      <c r="T106" s="123"/>
      <c r="U106" s="123"/>
      <c r="V106" s="123"/>
      <c r="W106" s="123"/>
      <c r="X106" s="123"/>
      <c r="Y106" s="123"/>
      <c r="Z106" s="123"/>
      <c r="AA106" s="123"/>
      <c r="AC106" s="32"/>
      <c r="AD106" s="32"/>
      <c r="AE106" s="32"/>
      <c r="AF106" s="32"/>
      <c r="AG106" s="32"/>
      <c r="AH106" s="32"/>
      <c r="AJ106" s="32"/>
      <c r="AK106" s="32"/>
      <c r="AL106" s="32"/>
      <c r="AM106" s="32"/>
      <c r="AO106" s="32"/>
      <c r="AP106" s="32"/>
      <c r="AQ106" s="32"/>
      <c r="AR106" s="32"/>
    </row>
    <row r="107" spans="1:59" s="122" customFormat="1" x14ac:dyDescent="0.25">
      <c r="A107" s="331"/>
      <c r="B107" s="41" t="s">
        <v>103</v>
      </c>
      <c r="C107" s="42">
        <v>0</v>
      </c>
      <c r="D107" s="41" t="s">
        <v>103</v>
      </c>
      <c r="E107" s="43">
        <f>C98+C107+C96*C54-C95*C55</f>
        <v>-105000</v>
      </c>
      <c r="F107" s="130"/>
      <c r="G107" s="134"/>
      <c r="H107" s="137"/>
      <c r="I107" s="134"/>
      <c r="J107" s="134"/>
      <c r="K107" s="134"/>
      <c r="L107" s="134"/>
      <c r="M107" s="134"/>
      <c r="O107" s="123"/>
      <c r="P107" s="123"/>
      <c r="Q107" s="123"/>
      <c r="R107" s="123"/>
      <c r="S107" s="124"/>
      <c r="T107" s="123"/>
      <c r="U107" s="123"/>
      <c r="V107" s="123"/>
      <c r="W107" s="123"/>
      <c r="X107" s="123"/>
      <c r="Y107" s="123"/>
      <c r="Z107" s="123"/>
      <c r="AA107" s="123"/>
      <c r="AC107" s="32"/>
      <c r="AD107" s="32"/>
      <c r="AE107" s="32"/>
      <c r="AF107" s="32"/>
      <c r="AG107" s="32"/>
      <c r="AH107" s="32"/>
      <c r="AJ107" s="32"/>
      <c r="AK107" s="32"/>
      <c r="AL107" s="32"/>
      <c r="AM107" s="32"/>
      <c r="AO107" s="32"/>
      <c r="AP107" s="32"/>
      <c r="AQ107" s="32"/>
      <c r="AR107" s="32"/>
    </row>
    <row r="108" spans="1:59" s="122" customFormat="1" x14ac:dyDescent="0.25">
      <c r="A108" s="331"/>
      <c r="B108" s="41" t="s">
        <v>104</v>
      </c>
      <c r="C108" s="42">
        <v>0</v>
      </c>
      <c r="D108" s="41" t="s">
        <v>104</v>
      </c>
      <c r="E108" s="43">
        <f>C99+C108+C94*C55-C96*C53</f>
        <v>0</v>
      </c>
      <c r="F108" s="130"/>
      <c r="G108" s="134"/>
      <c r="H108" s="137"/>
      <c r="I108" s="134"/>
      <c r="J108" s="134"/>
      <c r="K108" s="134"/>
      <c r="L108" s="134"/>
      <c r="M108" s="134"/>
      <c r="O108" s="123"/>
      <c r="P108" s="123"/>
      <c r="Q108" s="123"/>
      <c r="R108" s="123"/>
      <c r="S108" s="124"/>
      <c r="T108" s="123"/>
      <c r="U108" s="123"/>
      <c r="V108" s="123"/>
      <c r="W108" s="123"/>
      <c r="X108" s="123"/>
      <c r="Y108" s="123"/>
      <c r="Z108" s="123"/>
      <c r="AA108" s="123"/>
      <c r="AC108" s="32"/>
      <c r="AD108" s="32"/>
      <c r="AE108" s="32"/>
      <c r="AF108" s="32"/>
      <c r="AG108" s="32"/>
      <c r="AH108" s="32"/>
      <c r="AJ108" s="32"/>
      <c r="AK108" s="32"/>
      <c r="AL108" s="32"/>
      <c r="AM108" s="32"/>
      <c r="AO108" s="32"/>
      <c r="AP108" s="32"/>
      <c r="AQ108" s="32"/>
      <c r="AR108" s="32"/>
    </row>
    <row r="109" spans="1:59" s="122" customFormat="1" x14ac:dyDescent="0.25">
      <c r="A109" s="331"/>
      <c r="B109" s="130" t="s">
        <v>105</v>
      </c>
      <c r="C109" s="133">
        <v>0</v>
      </c>
      <c r="D109" s="41" t="s">
        <v>105</v>
      </c>
      <c r="E109" s="43">
        <f>C100+C109+C95*C53-C94*C54</f>
        <v>-180000</v>
      </c>
      <c r="F109" s="130"/>
      <c r="G109" s="134"/>
      <c r="H109" s="137"/>
      <c r="I109" s="134"/>
      <c r="J109" s="134"/>
      <c r="K109" s="134"/>
      <c r="L109" s="134"/>
      <c r="M109" s="134"/>
      <c r="O109" s="123"/>
      <c r="P109" s="123"/>
      <c r="Q109" s="123"/>
      <c r="R109" s="123"/>
      <c r="S109" s="124"/>
      <c r="T109" s="123"/>
      <c r="U109" s="123"/>
      <c r="V109" s="123"/>
      <c r="W109" s="123"/>
      <c r="X109" s="123"/>
      <c r="Y109" s="123"/>
      <c r="Z109" s="123"/>
      <c r="AA109" s="123"/>
      <c r="AC109" s="32"/>
      <c r="AD109" s="32"/>
      <c r="AE109" s="32"/>
      <c r="AF109" s="32"/>
      <c r="AG109" s="32"/>
      <c r="AH109" s="32"/>
      <c r="AJ109" s="32"/>
      <c r="AK109" s="32"/>
      <c r="AL109" s="32"/>
      <c r="AM109" s="32"/>
      <c r="AO109" s="32"/>
      <c r="AP109" s="32"/>
      <c r="AQ109" s="32"/>
      <c r="AR109" s="32"/>
    </row>
    <row r="110" spans="1:59" s="52" customFormat="1" ht="16.5" thickBot="1" x14ac:dyDescent="0.3">
      <c r="A110" s="332"/>
      <c r="B110" s="57" t="s">
        <v>108</v>
      </c>
      <c r="C110" s="58">
        <v>1</v>
      </c>
      <c r="D110" s="57" t="s">
        <v>108</v>
      </c>
      <c r="E110" s="58">
        <v>1</v>
      </c>
      <c r="F110" s="57"/>
      <c r="G110" s="135"/>
      <c r="H110" s="138"/>
      <c r="I110" s="135"/>
      <c r="J110" s="135"/>
      <c r="K110" s="135"/>
      <c r="L110" s="135"/>
      <c r="M110" s="135"/>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x14ac:dyDescent="0.25">
      <c r="A111" s="334" t="s">
        <v>326</v>
      </c>
      <c r="B111" s="68" t="s">
        <v>250</v>
      </c>
      <c r="E111" s="1" t="s">
        <v>143</v>
      </c>
    </row>
    <row r="112" spans="1:59" ht="15" customHeight="1" x14ac:dyDescent="0.25">
      <c r="A112" s="334"/>
      <c r="B112" s="12" t="s">
        <v>73</v>
      </c>
      <c r="C112" s="56">
        <f>C90</f>
        <v>100</v>
      </c>
      <c r="E112" s="319" t="s">
        <v>138</v>
      </c>
      <c r="F112" s="319"/>
      <c r="G112" s="319" t="s">
        <v>139</v>
      </c>
      <c r="H112" s="319"/>
      <c r="N112" s="34" t="s">
        <v>98</v>
      </c>
      <c r="O112" s="1"/>
      <c r="P112" s="67"/>
      <c r="Q112" s="1"/>
      <c r="R112" s="1"/>
      <c r="S112" s="34" t="s">
        <v>136</v>
      </c>
      <c r="Y112" s="94" t="s">
        <v>297</v>
      </c>
    </row>
    <row r="113" spans="1:62" ht="15" customHeight="1" x14ac:dyDescent="0.25">
      <c r="A113" s="334"/>
      <c r="B113" s="12" t="s">
        <v>74</v>
      </c>
      <c r="C113" s="56">
        <f>C91</f>
        <v>500</v>
      </c>
      <c r="E113" s="46" t="s">
        <v>84</v>
      </c>
      <c r="F113" s="48" t="e">
        <f>'CS_4 member 4'!B45</f>
        <v>#DIV/0!</v>
      </c>
      <c r="G113" s="46" t="s">
        <v>84</v>
      </c>
      <c r="H113" s="48" t="e">
        <f>'CS_4 member 4'!B52</f>
        <v>#DIV/0!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x14ac:dyDescent="0.25">
      <c r="A114" s="334"/>
      <c r="B114" s="12" t="s">
        <v>75</v>
      </c>
      <c r="C114" s="56">
        <f>C92</f>
        <v>-350</v>
      </c>
      <c r="E114" s="46" t="s">
        <v>112</v>
      </c>
      <c r="F114" s="48" t="e">
        <f>'CS_4 member 4'!B46</f>
        <v>#DIV/0!</v>
      </c>
      <c r="G114" s="46" t="s">
        <v>112</v>
      </c>
      <c r="H114" s="48" t="e">
        <f>'CS_4 member 4'!B53</f>
        <v>#DIV/0!</v>
      </c>
      <c r="N114" s="46" t="s">
        <v>84</v>
      </c>
      <c r="O114" s="50" t="e">
        <f>ABS(F113)</f>
        <v>#DIV/0!</v>
      </c>
      <c r="P114" s="50" t="e">
        <f>ABS(F116*O128)</f>
        <v>#DIV/0!</v>
      </c>
      <c r="Q114" s="50" t="e">
        <f>ABS(F117*P128)</f>
        <v>#DIV/0!</v>
      </c>
      <c r="R114" s="50" t="e">
        <f>ABS(F118*Q128)</f>
        <v>#DIV/0!</v>
      </c>
      <c r="S114" s="46" t="s">
        <v>84</v>
      </c>
      <c r="T114" s="49" t="e">
        <f t="array" ref="T114:W117">ABS(MMULT(T132:W135,O114:R117))</f>
        <v>#DIV/0!</v>
      </c>
      <c r="U114" s="49" t="e">
        <v>#DIV/0!</v>
      </c>
      <c r="V114" s="49" t="e">
        <v>#DIV/0!</v>
      </c>
      <c r="W114" s="49" t="e">
        <v>#DIV/0!</v>
      </c>
      <c r="X114" s="70" t="s">
        <v>84</v>
      </c>
      <c r="Y114" s="49">
        <f>F120+F127</f>
        <v>0</v>
      </c>
      <c r="Z114" s="29">
        <f>F123*O128</f>
        <v>0</v>
      </c>
      <c r="AA114" s="29">
        <f>F124*P128</f>
        <v>0</v>
      </c>
      <c r="AB114" s="29">
        <f>F125*Q128</f>
        <v>2.2713051761473891E-3</v>
      </c>
    </row>
    <row r="115" spans="1:62" ht="15" customHeight="1" x14ac:dyDescent="0.25">
      <c r="A115" s="60">
        <v>4</v>
      </c>
      <c r="B115" s="1" t="s">
        <v>76</v>
      </c>
      <c r="E115" s="46" t="s">
        <v>113</v>
      </c>
      <c r="F115" s="48" t="e">
        <f>'CS_4 member 4'!B47</f>
        <v>#DIV/0!</v>
      </c>
      <c r="G115" s="46" t="s">
        <v>113</v>
      </c>
      <c r="H115" s="48" t="e">
        <f>'CS_4 member 4'!B54</f>
        <v>#DIV/0!</v>
      </c>
      <c r="N115" s="46" t="s">
        <v>112</v>
      </c>
      <c r="O115" s="50" t="e">
        <f t="shared" ref="O115:O116" si="25">ABS(F114)</f>
        <v>#DIV/0!</v>
      </c>
      <c r="P115" s="50" t="e">
        <f>ABS(F116*O129)</f>
        <v>#DIV/0!</v>
      </c>
      <c r="Q115" s="50" t="e">
        <f>ABS(F117*P129)</f>
        <v>#DIV/0!</v>
      </c>
      <c r="R115" s="50" t="e">
        <f>ABS(F118*Q129)</f>
        <v>#DIV/0!</v>
      </c>
      <c r="S115" s="46" t="s">
        <v>112</v>
      </c>
      <c r="T115" s="49" t="e">
        <v>#DIV/0!</v>
      </c>
      <c r="U115" s="49" t="e">
        <v>#DIV/0!</v>
      </c>
      <c r="V115" s="49" t="e">
        <v>#DIV/0!</v>
      </c>
      <c r="W115" s="49" t="e">
        <v>#DIV/0!</v>
      </c>
      <c r="X115" s="70" t="s">
        <v>112</v>
      </c>
      <c r="Y115" s="49">
        <f t="shared" ref="Y115:Y116" si="26">F121+F128</f>
        <v>0.34651580883877353</v>
      </c>
      <c r="Z115" s="29">
        <f>F123*O129</f>
        <v>-5.3421211204199102E-3</v>
      </c>
      <c r="AA115" s="29">
        <f>F124*P129</f>
        <v>0</v>
      </c>
      <c r="AB115" s="29">
        <f>F125*Q129</f>
        <v>-4.530800745355589E-4</v>
      </c>
    </row>
    <row r="116" spans="1:62" ht="15" customHeight="1" x14ac:dyDescent="0.25">
      <c r="A116" s="43">
        <f>IF(A115&gt;Naxes,0,1)</f>
        <v>1</v>
      </c>
      <c r="B116" s="2" t="s">
        <v>177</v>
      </c>
      <c r="C116" s="37">
        <v>0</v>
      </c>
      <c r="E116" s="4" t="s">
        <v>85</v>
      </c>
      <c r="F116" s="48" t="e">
        <f>'CS_4 member 4'!B48</f>
        <v>#DIV/0!</v>
      </c>
      <c r="G116" s="4" t="s">
        <v>85</v>
      </c>
      <c r="H116" s="48" t="e">
        <f>'CS_4 member 4'!B55</f>
        <v>#DIV/0!</v>
      </c>
      <c r="N116" s="46" t="s">
        <v>113</v>
      </c>
      <c r="O116" s="50" t="e">
        <f t="shared" si="25"/>
        <v>#DIV/0!</v>
      </c>
      <c r="P116" s="50" t="e">
        <f>ABS(F116*O130)</f>
        <v>#DIV/0!</v>
      </c>
      <c r="Q116" s="50" t="e">
        <f>ABS(F117*P130)</f>
        <v>#DIV/0!</v>
      </c>
      <c r="R116" s="50" t="e">
        <f>ABS(F118*Q130)</f>
        <v>#DIV/0!</v>
      </c>
      <c r="S116" s="46" t="s">
        <v>113</v>
      </c>
      <c r="T116" s="49" t="e">
        <v>#DIV/0!</v>
      </c>
      <c r="U116" s="49" t="e">
        <v>#DIV/0!</v>
      </c>
      <c r="V116" s="49" t="e">
        <v>#DIV/0!</v>
      </c>
      <c r="W116" s="49" t="e">
        <v>#DIV/0!</v>
      </c>
      <c r="X116" s="70" t="s">
        <v>113</v>
      </c>
      <c r="Y116" s="49">
        <f t="shared" si="26"/>
        <v>0</v>
      </c>
      <c r="Z116" s="29">
        <f>F123*O130</f>
        <v>-7.6397296115603879E-3</v>
      </c>
      <c r="AA116" s="29">
        <f>F124*P130</f>
        <v>0</v>
      </c>
      <c r="AB116" s="29">
        <f>F125*Q130</f>
        <v>0</v>
      </c>
    </row>
    <row r="117" spans="1:62" ht="15" customHeight="1" x14ac:dyDescent="0.25">
      <c r="A117" s="336" t="s">
        <v>127</v>
      </c>
      <c r="B117" s="2" t="s">
        <v>179</v>
      </c>
      <c r="C117" s="37">
        <v>0</v>
      </c>
      <c r="E117" s="4" t="s">
        <v>86</v>
      </c>
      <c r="F117" s="48" t="e">
        <f>'CS_4 member 4'!B49</f>
        <v>#DIV/0!</v>
      </c>
      <c r="G117" s="4" t="s">
        <v>86</v>
      </c>
      <c r="H117" s="48" t="e">
        <f>'CS_4 member 4'!B56</f>
        <v>#DIV/0!</v>
      </c>
      <c r="N117" s="6" t="s">
        <v>108</v>
      </c>
      <c r="O117" s="29">
        <v>1</v>
      </c>
      <c r="P117" s="29">
        <v>1</v>
      </c>
      <c r="Q117" s="29">
        <v>1</v>
      </c>
      <c r="R117" s="29">
        <v>1</v>
      </c>
      <c r="S117" s="6" t="s">
        <v>108</v>
      </c>
      <c r="T117" s="49" t="e">
        <v>#DIV/0!</v>
      </c>
      <c r="U117" s="49" t="e">
        <v>#DIV/0!</v>
      </c>
      <c r="V117" s="49" t="e">
        <v>#DIV/0!</v>
      </c>
      <c r="W117" s="49" t="e">
        <v>#DIV/0!</v>
      </c>
      <c r="X117" s="6" t="s">
        <v>108</v>
      </c>
      <c r="Y117" s="29">
        <v>1</v>
      </c>
      <c r="Z117" s="29">
        <v>1</v>
      </c>
      <c r="AA117" s="29">
        <v>1</v>
      </c>
      <c r="AB117" s="29">
        <v>1</v>
      </c>
    </row>
    <row r="118" spans="1:62" ht="15" customHeight="1" x14ac:dyDescent="0.25">
      <c r="A118" s="336"/>
      <c r="B118" s="2" t="s">
        <v>178</v>
      </c>
      <c r="C118" s="37">
        <v>0</v>
      </c>
      <c r="E118" s="4" t="s">
        <v>87</v>
      </c>
      <c r="F118" s="48" t="e">
        <f>'CS_4 member 4'!B50</f>
        <v>#DIV/0!</v>
      </c>
      <c r="G118" s="4" t="s">
        <v>87</v>
      </c>
      <c r="H118" s="48" t="e">
        <f>'CS_4 member 4'!B57</f>
        <v>#DIV/0!</v>
      </c>
      <c r="X118" s="6"/>
    </row>
    <row r="119" spans="1:62" ht="33" customHeight="1" x14ac:dyDescent="0.25">
      <c r="A119" s="336"/>
      <c r="B119" s="2" t="s">
        <v>245</v>
      </c>
      <c r="C119" s="37">
        <v>0</v>
      </c>
      <c r="E119" s="317" t="s">
        <v>303</v>
      </c>
      <c r="F119" s="317"/>
      <c r="G119" s="319" t="s">
        <v>251</v>
      </c>
      <c r="H119" s="319"/>
      <c r="I119" s="317" t="s">
        <v>306</v>
      </c>
      <c r="J119" s="317"/>
      <c r="K119" s="317" t="s">
        <v>304</v>
      </c>
      <c r="L119" s="317"/>
      <c r="N119" s="34" t="s">
        <v>99</v>
      </c>
      <c r="O119" s="1"/>
      <c r="P119" s="67"/>
      <c r="Q119" s="1"/>
      <c r="R119" s="1"/>
      <c r="S119" s="34" t="s">
        <v>137</v>
      </c>
      <c r="X119" s="6"/>
      <c r="Y119" s="94" t="s">
        <v>296</v>
      </c>
    </row>
    <row r="120" spans="1:62" ht="15" customHeight="1" x14ac:dyDescent="0.25">
      <c r="A120" s="336"/>
      <c r="B120" s="2" t="s">
        <v>77</v>
      </c>
      <c r="C120" s="100">
        <v>0</v>
      </c>
      <c r="E120" s="46" t="s">
        <v>84</v>
      </c>
      <c r="F120" s="49">
        <f>E136/IF(H120=0,1000000000000,H120)</f>
        <v>0</v>
      </c>
      <c r="G120" s="4" t="s">
        <v>117</v>
      </c>
      <c r="H120" s="29">
        <f>'CS_4 member 4'!B25</f>
        <v>2588000</v>
      </c>
      <c r="I120" s="4" t="s">
        <v>85</v>
      </c>
      <c r="J120" s="49">
        <f>A149*F163</f>
        <v>0</v>
      </c>
      <c r="K120" s="4" t="s">
        <v>85</v>
      </c>
      <c r="L120" s="139">
        <f t="array" ref="L120:L123">MMULT(MINVERSE(O132:R135),J120:J123)</f>
        <v>0</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x14ac:dyDescent="0.25">
      <c r="A121" s="330" t="s">
        <v>402</v>
      </c>
      <c r="B121" s="2" t="s">
        <v>107</v>
      </c>
      <c r="C121" s="37">
        <v>0</v>
      </c>
      <c r="E121" s="46" t="s">
        <v>112</v>
      </c>
      <c r="F121" s="49">
        <f t="shared" ref="F121:F122" si="27">E137/IF(H121=0,1000000000000,H121)</f>
        <v>-3E-10</v>
      </c>
      <c r="G121" s="4" t="s">
        <v>118</v>
      </c>
      <c r="H121" s="29">
        <f>'CS_4 member 4'!B26</f>
        <v>0</v>
      </c>
      <c r="I121" s="4" t="s">
        <v>86</v>
      </c>
      <c r="J121" s="49">
        <f>A149*F164</f>
        <v>0</v>
      </c>
      <c r="K121" s="4" t="s">
        <v>86</v>
      </c>
      <c r="L121" s="139">
        <v>0</v>
      </c>
      <c r="N121" s="46" t="s">
        <v>84</v>
      </c>
      <c r="O121" s="50" t="e">
        <f>H113</f>
        <v>#DIV/0!</v>
      </c>
      <c r="P121" s="50" t="e">
        <f>H116*O128</f>
        <v>#DIV/0!</v>
      </c>
      <c r="Q121" s="50" t="e">
        <f>H117*P128</f>
        <v>#DIV/0!</v>
      </c>
      <c r="R121" s="50" t="e">
        <f>H118*Q128</f>
        <v>#DIV/0!</v>
      </c>
      <c r="S121" s="46" t="s">
        <v>84</v>
      </c>
      <c r="T121" s="50" t="e">
        <f t="array" ref="T121:T124">MMULT(T132:W135,O121:O124)</f>
        <v>#DIV/0!</v>
      </c>
      <c r="U121" s="50" t="e">
        <f t="array" ref="U121:U124">MMULT(T132:W135,P121:P124)</f>
        <v>#DIV/0!</v>
      </c>
      <c r="V121" s="50" t="e">
        <f t="array" ref="V121:V124">MMULT(T132:W135,Q121:Q124)</f>
        <v>#DIV/0!</v>
      </c>
      <c r="W121" s="50" t="e">
        <f t="array" ref="W121:W124">MMULT(T132:W135,R121:R124)</f>
        <v>#DIV/0!</v>
      </c>
      <c r="X121" s="70" t="s">
        <v>84</v>
      </c>
      <c r="Y121" s="29">
        <f t="array" ref="Y121:Y124">MMULT(T132:W135,Y114:Y117)</f>
        <v>0</v>
      </c>
      <c r="Z121" s="29">
        <f t="array" ref="Z121:Z124">MMULT(T132:W135,Z114:Z117)</f>
        <v>0</v>
      </c>
      <c r="AA121" s="29">
        <f t="array" ref="AA121:AA124">MMULT(T132:W135,AA114:AA117)</f>
        <v>0</v>
      </c>
      <c r="AB121" s="29">
        <f t="array" ref="AB121:AB124">MMULT(T132:W135,AB114:AB117)</f>
        <v>2.2713051761473891E-3</v>
      </c>
    </row>
    <row r="122" spans="1:62" ht="15" customHeight="1" x14ac:dyDescent="0.25">
      <c r="A122" s="331"/>
      <c r="B122" s="34" t="s">
        <v>78</v>
      </c>
      <c r="E122" s="46" t="s">
        <v>113</v>
      </c>
      <c r="F122" s="49">
        <f t="shared" si="27"/>
        <v>0</v>
      </c>
      <c r="G122" s="4" t="s">
        <v>119</v>
      </c>
      <c r="H122" s="29">
        <f>'CS_4 member 4'!B27</f>
        <v>2588000</v>
      </c>
      <c r="I122" s="4" t="s">
        <v>87</v>
      </c>
      <c r="J122" s="49">
        <f>A149*F165</f>
        <v>0</v>
      </c>
      <c r="K122" s="4" t="s">
        <v>87</v>
      </c>
      <c r="L122" s="139">
        <v>0</v>
      </c>
      <c r="N122" s="46" t="s">
        <v>112</v>
      </c>
      <c r="O122" s="50" t="e">
        <f>H114</f>
        <v>#DIV/0!</v>
      </c>
      <c r="P122" s="50" t="e">
        <f>H116*O129</f>
        <v>#DIV/0!</v>
      </c>
      <c r="Q122" s="50" t="e">
        <f>H117*P129</f>
        <v>#DIV/0!</v>
      </c>
      <c r="R122" s="50" t="e">
        <f>H118*Q129</f>
        <v>#DIV/0!</v>
      </c>
      <c r="S122" s="46" t="s">
        <v>112</v>
      </c>
      <c r="T122" s="50" t="e">
        <v>#DIV/0!</v>
      </c>
      <c r="U122" s="50" t="e">
        <v>#DIV/0!</v>
      </c>
      <c r="V122" s="50" t="e">
        <v>#DIV/0!</v>
      </c>
      <c r="W122" s="50" t="e">
        <v>#DIV/0!</v>
      </c>
      <c r="X122" s="70" t="s">
        <v>112</v>
      </c>
      <c r="Y122" s="29">
        <v>0.34651580883877353</v>
      </c>
      <c r="Z122" s="29">
        <v>-5.3421211204199102E-3</v>
      </c>
      <c r="AA122" s="29">
        <v>0</v>
      </c>
      <c r="AB122" s="29">
        <v>-4.530800745355589E-4</v>
      </c>
    </row>
    <row r="123" spans="1:62" ht="15" customHeight="1" x14ac:dyDescent="0.25">
      <c r="A123" s="331"/>
      <c r="B123" s="12" t="s">
        <v>79</v>
      </c>
      <c r="C123" s="31">
        <f>AC132+C119</f>
        <v>100</v>
      </c>
      <c r="E123" s="4" t="s">
        <v>85</v>
      </c>
      <c r="F123" s="49">
        <f>E140/IF(H123=0,1000000000000,H123)+L120</f>
        <v>-1.52741158287117E-5</v>
      </c>
      <c r="G123" s="46" t="s">
        <v>8</v>
      </c>
      <c r="H123" s="29">
        <f>'CS_4 member 4'!B29</f>
        <v>6874375000</v>
      </c>
      <c r="I123" s="4" t="s">
        <v>305</v>
      </c>
      <c r="J123" s="29">
        <v>1</v>
      </c>
      <c r="K123" s="4" t="s">
        <v>305</v>
      </c>
      <c r="L123" s="139">
        <v>1</v>
      </c>
      <c r="N123" s="46" t="s">
        <v>113</v>
      </c>
      <c r="O123" s="50" t="e">
        <f>H115</f>
        <v>#DIV/0!</v>
      </c>
      <c r="P123" s="50" t="e">
        <f>H116*O130</f>
        <v>#DIV/0!</v>
      </c>
      <c r="Q123" s="50" t="e">
        <f>H117*P130</f>
        <v>#DIV/0!</v>
      </c>
      <c r="R123" s="50" t="e">
        <f>H118*Q130</f>
        <v>#DIV/0!</v>
      </c>
      <c r="S123" s="46" t="s">
        <v>113</v>
      </c>
      <c r="T123" s="50" t="e">
        <v>#DIV/0!</v>
      </c>
      <c r="U123" s="50" t="e">
        <v>#DIV/0!</v>
      </c>
      <c r="V123" s="50" t="e">
        <v>#DIV/0!</v>
      </c>
      <c r="W123" s="50" t="e">
        <v>#DIV/0!</v>
      </c>
      <c r="X123" s="70" t="s">
        <v>113</v>
      </c>
      <c r="Y123" s="29">
        <v>0</v>
      </c>
      <c r="Z123" s="29">
        <v>-7.6397296115603879E-3</v>
      </c>
      <c r="AA123" s="29">
        <v>0</v>
      </c>
      <c r="AB123" s="29">
        <v>0</v>
      </c>
    </row>
    <row r="124" spans="1:62" ht="15" customHeight="1" x14ac:dyDescent="0.25">
      <c r="A124" s="331"/>
      <c r="B124" s="12" t="s">
        <v>80</v>
      </c>
      <c r="C124" s="31">
        <f>AC133+C120</f>
        <v>500</v>
      </c>
      <c r="E124" s="4" t="s">
        <v>86</v>
      </c>
      <c r="F124" s="49">
        <f t="shared" ref="F124:F125" si="28">E141/IF(H124=0,1000000000000,H124)+L121</f>
        <v>0</v>
      </c>
      <c r="G124" s="46" t="s">
        <v>120</v>
      </c>
      <c r="H124" s="29">
        <f>'CS_4 member 4'!B30</f>
        <v>6604791666.666667</v>
      </c>
      <c r="N124" s="6" t="s">
        <v>108</v>
      </c>
      <c r="O124" s="29">
        <v>1</v>
      </c>
      <c r="P124" s="29">
        <v>1</v>
      </c>
      <c r="Q124" s="29">
        <v>1</v>
      </c>
      <c r="R124" s="29">
        <v>1</v>
      </c>
      <c r="S124" s="6" t="s">
        <v>108</v>
      </c>
      <c r="T124" s="29" t="e">
        <v>#DIV/0!</v>
      </c>
      <c r="U124" s="29" t="e">
        <v>#DIV/0!</v>
      </c>
      <c r="V124" s="29" t="e">
        <v>#DIV/0!</v>
      </c>
      <c r="W124" s="29" t="e">
        <v>#DIV/0!</v>
      </c>
      <c r="X124" s="6" t="s">
        <v>108</v>
      </c>
      <c r="Y124" s="29">
        <v>1</v>
      </c>
      <c r="Z124" s="29">
        <v>1</v>
      </c>
      <c r="AA124" s="29">
        <v>1</v>
      </c>
      <c r="AB124" s="29">
        <v>1</v>
      </c>
    </row>
    <row r="125" spans="1:62" ht="15" customHeight="1" x14ac:dyDescent="0.25">
      <c r="A125" s="331"/>
      <c r="B125" s="12" t="s">
        <v>81</v>
      </c>
      <c r="C125" s="31">
        <f>AC134+C121</f>
        <v>-350</v>
      </c>
      <c r="E125" s="4" t="s">
        <v>87</v>
      </c>
      <c r="F125" s="49">
        <f t="shared" si="28"/>
        <v>-4.5421568936693683E-6</v>
      </c>
      <c r="G125" s="46" t="s">
        <v>116</v>
      </c>
      <c r="H125" s="29">
        <f>'CS_4 member 4'!B31</f>
        <v>6604791666.666667</v>
      </c>
      <c r="AB125" s="5"/>
      <c r="AU125" s="5" t="s">
        <v>67</v>
      </c>
      <c r="AZ125" s="5" t="s">
        <v>92</v>
      </c>
      <c r="BE125" s="5" t="s">
        <v>97</v>
      </c>
      <c r="BJ125" s="5" t="s">
        <v>97</v>
      </c>
    </row>
    <row r="126" spans="1:62" ht="31.5" x14ac:dyDescent="0.25">
      <c r="A126" s="331"/>
      <c r="B126" s="69" t="s">
        <v>106</v>
      </c>
      <c r="E126" s="319" t="s">
        <v>294</v>
      </c>
      <c r="F126" s="333"/>
      <c r="G126" s="327" t="s">
        <v>293</v>
      </c>
      <c r="H126" s="328"/>
      <c r="I126" s="328"/>
      <c r="J126" s="328"/>
      <c r="K126" s="328"/>
      <c r="L126" s="329"/>
      <c r="M126" s="93" t="s">
        <v>295</v>
      </c>
      <c r="N126" s="84" t="s">
        <v>248</v>
      </c>
      <c r="AE126" s="45" t="s">
        <v>227</v>
      </c>
      <c r="AF126" s="91">
        <v>1E-3</v>
      </c>
      <c r="AG126" s="45"/>
      <c r="AH126" s="45"/>
      <c r="AI126" s="45"/>
      <c r="AJ126" s="45" t="s">
        <v>93</v>
      </c>
      <c r="AK126" s="92">
        <v>1E-3</v>
      </c>
      <c r="AL126" s="7"/>
      <c r="AM126" s="7"/>
      <c r="AN126" s="45"/>
      <c r="AO126" s="45" t="s">
        <v>226</v>
      </c>
      <c r="AP126" s="91">
        <v>1E-3</v>
      </c>
      <c r="AU126" s="7" t="s">
        <v>0</v>
      </c>
      <c r="AV126" s="7" t="s">
        <v>1</v>
      </c>
      <c r="AW126" s="7" t="s">
        <v>2</v>
      </c>
      <c r="AZ126" s="7" t="s">
        <v>0</v>
      </c>
      <c r="BA126" s="7" t="s">
        <v>1</v>
      </c>
      <c r="BB126" s="7" t="s">
        <v>2</v>
      </c>
      <c r="BE126" s="7" t="s">
        <v>0</v>
      </c>
      <c r="BF126" s="7" t="s">
        <v>1</v>
      </c>
      <c r="BG126" s="7" t="s">
        <v>2</v>
      </c>
    </row>
    <row r="127" spans="1:62" ht="15" customHeight="1" x14ac:dyDescent="0.25">
      <c r="A127" s="331"/>
      <c r="B127" s="41" t="s">
        <v>100</v>
      </c>
      <c r="C127" s="43">
        <f t="array" ref="C127:C130">MMULT(O99:R102,E103:E106)</f>
        <v>0</v>
      </c>
      <c r="E127" s="46" t="s">
        <v>84</v>
      </c>
      <c r="F127" s="49">
        <f t="array" ref="F127:F132">MMULT(G127:L132,M127:M132)</f>
        <v>0</v>
      </c>
      <c r="G127" s="132">
        <f>'CS_4 member 4'!G5</f>
        <v>3.7259689903995191E-6</v>
      </c>
      <c r="H127" s="132">
        <f>'CS_4 member 4'!H5</f>
        <v>0</v>
      </c>
      <c r="I127" s="132">
        <f>'CS_4 member 4'!I5</f>
        <v>0</v>
      </c>
      <c r="J127" s="132">
        <f>'CS_4 member 4'!J5</f>
        <v>0</v>
      </c>
      <c r="K127" s="132">
        <f>'CS_4 member 4'!K5</f>
        <v>0</v>
      </c>
      <c r="L127" s="132">
        <f>'CS_4 member 4'!L5</f>
        <v>0</v>
      </c>
      <c r="M127" s="29">
        <f>C127</f>
        <v>0</v>
      </c>
      <c r="O127" s="7" t="s">
        <v>4</v>
      </c>
      <c r="P127" s="26" t="s">
        <v>5</v>
      </c>
      <c r="Q127" s="26" t="s">
        <v>6</v>
      </c>
      <c r="R127" s="26"/>
      <c r="S127" s="26"/>
      <c r="T127" s="26"/>
      <c r="U127" s="26"/>
      <c r="V127" s="26"/>
      <c r="W127" s="26"/>
      <c r="X127" s="26"/>
      <c r="Y127" s="26"/>
      <c r="Z127" s="26"/>
      <c r="AA127" s="26"/>
      <c r="AB127" t="s">
        <v>66</v>
      </c>
      <c r="AC127" s="29">
        <f>C112</f>
        <v>100</v>
      </c>
      <c r="AD127" s="29"/>
      <c r="AE127" s="78">
        <v>1</v>
      </c>
      <c r="AF127" s="49">
        <v>0</v>
      </c>
      <c r="AG127" s="49">
        <v>0</v>
      </c>
      <c r="AH127" s="79">
        <v>0</v>
      </c>
      <c r="AI127" s="80"/>
      <c r="AJ127" s="49">
        <f>COS(AK126)</f>
        <v>0.99999950000004167</v>
      </c>
      <c r="AK127" s="49">
        <v>0</v>
      </c>
      <c r="AL127" s="49">
        <f>-AJ129</f>
        <v>9.9999983333334168E-4</v>
      </c>
      <c r="AM127" s="49">
        <v>0</v>
      </c>
      <c r="AN127" s="80"/>
      <c r="AO127" s="49">
        <f>COS(AP126)</f>
        <v>0.99999950000004167</v>
      </c>
      <c r="AP127" s="49">
        <f>-AO128</f>
        <v>-9.9999983333334168E-4</v>
      </c>
      <c r="AQ127" s="49">
        <v>0</v>
      </c>
      <c r="AR127" s="49">
        <v>0</v>
      </c>
      <c r="AS127" s="80"/>
      <c r="AT127" s="29" t="s">
        <v>63</v>
      </c>
      <c r="AU127" s="49">
        <f t="array" ref="AU127:AU130">MMULT(AE127:AH130,$AC127:$AC130)</f>
        <v>100</v>
      </c>
      <c r="AV127" s="49">
        <f>AU127-$AC127</f>
        <v>0</v>
      </c>
      <c r="AW127" s="49">
        <f>AV127/AF126</f>
        <v>0</v>
      </c>
      <c r="AX127" s="80"/>
      <c r="AY127" s="29" t="s">
        <v>63</v>
      </c>
      <c r="AZ127" s="49">
        <f t="array" ref="AZ127:AZ130">MMULT(AJ127:AM130,$AC127:$AC130)</f>
        <v>99.649950058337495</v>
      </c>
      <c r="BA127" s="49">
        <f>AZ127-$AC127</f>
        <v>-0.35004994166250469</v>
      </c>
      <c r="BB127" s="49">
        <f>BA127/AK126</f>
        <v>-350.04994166250469</v>
      </c>
      <c r="BC127" s="80"/>
      <c r="BD127" s="29" t="s">
        <v>63</v>
      </c>
      <c r="BE127" s="49">
        <f t="array" ref="BE127:BE130">MMULT(AO127:AR130,$AC127:$AC130)</f>
        <v>99.499950083337495</v>
      </c>
      <c r="BF127" s="49">
        <f>BE127-$AC127</f>
        <v>-0.50004991666250476</v>
      </c>
      <c r="BG127" s="49">
        <f>BF127/AP126</f>
        <v>-500.04991666250476</v>
      </c>
    </row>
    <row r="128" spans="1:62" x14ac:dyDescent="0.25">
      <c r="A128" s="331"/>
      <c r="B128" s="41" t="s">
        <v>101</v>
      </c>
      <c r="C128" s="43">
        <v>-300</v>
      </c>
      <c r="E128" s="46" t="s">
        <v>112</v>
      </c>
      <c r="F128" s="49">
        <v>0.34651580913877356</v>
      </c>
      <c r="G128" s="132">
        <f>'CS_4 member 4'!G6</f>
        <v>0</v>
      </c>
      <c r="H128" s="132">
        <f>'CS_4 member 4'!H6</f>
        <v>1.4438158714115564E-3</v>
      </c>
      <c r="I128" s="132">
        <f>'CS_4 member 4'!I6</f>
        <v>0</v>
      </c>
      <c r="J128" s="132">
        <f>'CS_4 member 4'!J6</f>
        <v>0</v>
      </c>
      <c r="K128" s="132">
        <f>'CS_4 member 4'!K6</f>
        <v>0</v>
      </c>
      <c r="L128" s="132">
        <f>'CS_4 member 4'!L6</f>
        <v>-4.3314476142346695E-6</v>
      </c>
      <c r="M128" s="29">
        <f t="shared" ref="M128:M129" si="29">C128</f>
        <v>-300</v>
      </c>
      <c r="N128" s="46" t="s">
        <v>84</v>
      </c>
      <c r="O128" s="31">
        <f>AW127</f>
        <v>0</v>
      </c>
      <c r="P128" s="31">
        <f>BB127</f>
        <v>-350.04994166250469</v>
      </c>
      <c r="Q128" s="31">
        <f>BG127</f>
        <v>-500.04991666250476</v>
      </c>
      <c r="AB128" t="s">
        <v>71</v>
      </c>
      <c r="AC128" s="29">
        <f>C113</f>
        <v>500</v>
      </c>
      <c r="AD128" s="29"/>
      <c r="AE128" s="78">
        <v>0</v>
      </c>
      <c r="AF128" s="49">
        <f>COS(AF126)</f>
        <v>0.99999950000004167</v>
      </c>
      <c r="AG128" s="49">
        <f>-SIN(AF126)</f>
        <v>-9.9999983333334168E-4</v>
      </c>
      <c r="AH128" s="79">
        <v>0</v>
      </c>
      <c r="AI128" s="80"/>
      <c r="AJ128" s="49">
        <v>0</v>
      </c>
      <c r="AK128" s="49">
        <v>1</v>
      </c>
      <c r="AL128" s="49">
        <v>0</v>
      </c>
      <c r="AM128" s="49">
        <v>0</v>
      </c>
      <c r="AN128" s="80"/>
      <c r="AO128" s="49">
        <f>SIN(AP126)</f>
        <v>9.9999983333334168E-4</v>
      </c>
      <c r="AP128" s="49">
        <f>AO127</f>
        <v>0.99999950000004167</v>
      </c>
      <c r="AQ128" s="49">
        <v>0</v>
      </c>
      <c r="AR128" s="49">
        <v>0</v>
      </c>
      <c r="AS128" s="80"/>
      <c r="AT128" s="29" t="s">
        <v>64</v>
      </c>
      <c r="AU128" s="49">
        <v>500.34974994168749</v>
      </c>
      <c r="AV128" s="49">
        <f>AU128-$AC128</f>
        <v>0.34974994168749163</v>
      </c>
      <c r="AW128" s="49">
        <f>AV128/AF126</f>
        <v>349.74994168749163</v>
      </c>
      <c r="AX128" s="80"/>
      <c r="AY128" s="29" t="s">
        <v>64</v>
      </c>
      <c r="AZ128" s="49">
        <v>500</v>
      </c>
      <c r="BA128" s="49">
        <f>AZ128-$AC128</f>
        <v>0</v>
      </c>
      <c r="BB128" s="49">
        <f>BA128/AK126</f>
        <v>0</v>
      </c>
      <c r="BC128" s="80"/>
      <c r="BD128" s="29" t="s">
        <v>64</v>
      </c>
      <c r="BE128" s="49">
        <v>500.09974998335417</v>
      </c>
      <c r="BF128" s="49">
        <f>BE128-$AC128</f>
        <v>9.97499833541724E-2</v>
      </c>
      <c r="BG128" s="49">
        <f>BF128/AP126</f>
        <v>99.7499833541724</v>
      </c>
    </row>
    <row r="129" spans="1:59" x14ac:dyDescent="0.25">
      <c r="A129" s="331"/>
      <c r="B129" s="41" t="s">
        <v>102</v>
      </c>
      <c r="C129" s="43">
        <v>0</v>
      </c>
      <c r="E129" s="46" t="s">
        <v>113</v>
      </c>
      <c r="F129" s="49">
        <v>0</v>
      </c>
      <c r="G129" s="132">
        <f>'CS_4 member 4'!G7</f>
        <v>0</v>
      </c>
      <c r="H129" s="132">
        <f>'CS_4 member 4'!H7</f>
        <v>0</v>
      </c>
      <c r="I129" s="132">
        <f>'CS_4 member 4'!I7</f>
        <v>3.609539678528891E-4</v>
      </c>
      <c r="J129" s="132">
        <f>'CS_4 member 4'!J7</f>
        <v>0</v>
      </c>
      <c r="K129" s="132">
        <f>'CS_4 member 4'!K7</f>
        <v>1.0828619035586674E-6</v>
      </c>
      <c r="L129" s="132">
        <f>'CS_4 member 4'!L7</f>
        <v>0</v>
      </c>
      <c r="M129" s="29">
        <f t="shared" si="29"/>
        <v>0</v>
      </c>
      <c r="N129" s="46" t="s">
        <v>112</v>
      </c>
      <c r="O129" s="31">
        <f t="shared" ref="O129:O130" si="30">AW128</f>
        <v>349.74994168749163</v>
      </c>
      <c r="P129" s="31">
        <f t="shared" ref="P129:P130" si="31">BB128</f>
        <v>0</v>
      </c>
      <c r="Q129" s="31">
        <f t="shared" ref="Q129:Q130" si="32">BG128</f>
        <v>99.7499833541724</v>
      </c>
      <c r="AB129" t="s">
        <v>72</v>
      </c>
      <c r="AC129" s="29">
        <f>C114</f>
        <v>-350</v>
      </c>
      <c r="AD129" s="29"/>
      <c r="AE129" s="78">
        <v>0</v>
      </c>
      <c r="AF129" s="49">
        <f>-AG128</f>
        <v>9.9999983333334168E-4</v>
      </c>
      <c r="AG129" s="49">
        <f>AF128</f>
        <v>0.99999950000004167</v>
      </c>
      <c r="AH129" s="79">
        <v>0</v>
      </c>
      <c r="AI129" s="80"/>
      <c r="AJ129" s="49">
        <f>-SIN(AK126)</f>
        <v>-9.9999983333334168E-4</v>
      </c>
      <c r="AK129" s="49">
        <v>0</v>
      </c>
      <c r="AL129" s="49">
        <f>COS(AK126)</f>
        <v>0.99999950000004167</v>
      </c>
      <c r="AM129" s="49">
        <v>0</v>
      </c>
      <c r="AN129" s="80"/>
      <c r="AO129" s="49">
        <v>0</v>
      </c>
      <c r="AP129" s="49">
        <v>0</v>
      </c>
      <c r="AQ129" s="49">
        <v>1</v>
      </c>
      <c r="AR129" s="49">
        <v>0</v>
      </c>
      <c r="AS129" s="80"/>
      <c r="AT129" s="29" t="s">
        <v>65</v>
      </c>
      <c r="AU129" s="49">
        <v>-349.4998250833479</v>
      </c>
      <c r="AV129" s="49">
        <f>AU129-$AC129</f>
        <v>0.50017491665209945</v>
      </c>
      <c r="AW129" s="49">
        <f>AV129/AF126</f>
        <v>500.17491665209945</v>
      </c>
      <c r="AX129" s="80"/>
      <c r="AY129" s="29" t="s">
        <v>65</v>
      </c>
      <c r="AZ129" s="49">
        <v>-350.09982498334796</v>
      </c>
      <c r="BA129" s="49">
        <f>AZ129-$AC129</f>
        <v>-9.9824983347957641E-2</v>
      </c>
      <c r="BB129" s="49">
        <f>BA129/AK126</f>
        <v>-99.824983347957641</v>
      </c>
      <c r="BC129" s="80"/>
      <c r="BD129" s="29" t="s">
        <v>65</v>
      </c>
      <c r="BE129" s="49">
        <v>-350</v>
      </c>
      <c r="BF129" s="49">
        <f>BE129-$AC129</f>
        <v>0</v>
      </c>
      <c r="BG129" s="49">
        <f>BF129/AP126</f>
        <v>0</v>
      </c>
    </row>
    <row r="130" spans="1:59" ht="15" customHeight="1" x14ac:dyDescent="0.25">
      <c r="A130" s="331"/>
      <c r="B130" s="41" t="s">
        <v>108</v>
      </c>
      <c r="C130" s="43">
        <v>1</v>
      </c>
      <c r="E130" s="4" t="s">
        <v>85</v>
      </c>
      <c r="F130" s="49">
        <v>-1.668837292782184E-4</v>
      </c>
      <c r="G130" s="132">
        <f>'CS_4 member 4'!G8</f>
        <v>0</v>
      </c>
      <c r="H130" s="132">
        <f>'CS_4 member 4'!H8</f>
        <v>0</v>
      </c>
      <c r="I130" s="132">
        <f>'CS_4 member 4'!I8</f>
        <v>0</v>
      </c>
      <c r="J130" s="132">
        <f>'CS_4 member 4'!J8</f>
        <v>1.5893688502687468E-9</v>
      </c>
      <c r="K130" s="132">
        <f>'CS_4 member 4'!K8</f>
        <v>0</v>
      </c>
      <c r="L130" s="132">
        <f>'CS_4 member 4'!L8</f>
        <v>0</v>
      </c>
      <c r="M130" s="29">
        <f>C131</f>
        <v>-105000</v>
      </c>
      <c r="N130" s="46" t="s">
        <v>113</v>
      </c>
      <c r="O130" s="31">
        <f t="shared" si="30"/>
        <v>500.17491665209945</v>
      </c>
      <c r="P130" s="31">
        <f t="shared" si="31"/>
        <v>-99.824983347957641</v>
      </c>
      <c r="Q130" s="31">
        <f t="shared" si="32"/>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x14ac:dyDescent="0.25">
      <c r="A131" s="331"/>
      <c r="B131" s="41" t="s">
        <v>103</v>
      </c>
      <c r="C131" s="43">
        <f t="array" ref="C131:C134">MMULT(O99:R102,E107:E110)</f>
        <v>-105000</v>
      </c>
      <c r="E131" s="4" t="s">
        <v>86</v>
      </c>
      <c r="F131" s="49">
        <v>0</v>
      </c>
      <c r="G131" s="132">
        <f>'CS_4 member 4'!G9</f>
        <v>0</v>
      </c>
      <c r="H131" s="132">
        <f>'CS_4 member 4'!H9</f>
        <v>0</v>
      </c>
      <c r="I131" s="132">
        <f>'CS_4 member 4'!I9</f>
        <v>1.0828619035586674E-6</v>
      </c>
      <c r="J131" s="132">
        <f>'CS_4 member 4'!J9</f>
        <v>0</v>
      </c>
      <c r="K131" s="132">
        <f>'CS_4 member 4'!K9</f>
        <v>1.520803669550824E-11</v>
      </c>
      <c r="L131" s="132">
        <f>'CS_4 member 4'!L9</f>
        <v>0</v>
      </c>
      <c r="M131" s="29">
        <f>C132</f>
        <v>0</v>
      </c>
      <c r="O131" s="3" t="s">
        <v>82</v>
      </c>
      <c r="T131" s="3" t="s">
        <v>83</v>
      </c>
      <c r="AE131" t="s">
        <v>95</v>
      </c>
      <c r="AJ131" t="s">
        <v>94</v>
      </c>
      <c r="AO131" t="s">
        <v>96</v>
      </c>
    </row>
    <row r="132" spans="1:59" ht="15" customHeight="1" x14ac:dyDescent="0.25">
      <c r="A132" s="331"/>
      <c r="B132" s="41" t="s">
        <v>104</v>
      </c>
      <c r="C132" s="43">
        <v>0</v>
      </c>
      <c r="E132" s="4" t="s">
        <v>87</v>
      </c>
      <c r="F132" s="49">
        <v>-1.8192079979785613E-3</v>
      </c>
      <c r="G132" s="132">
        <f>'CS_4 member 4'!G10</f>
        <v>0</v>
      </c>
      <c r="H132" s="132">
        <f>'CS_4 member 4'!H10</f>
        <v>-4.3314476142346695E-6</v>
      </c>
      <c r="I132" s="132">
        <f>'CS_4 member 4'!I10</f>
        <v>0</v>
      </c>
      <c r="J132" s="132">
        <f>'CS_4 member 4'!J10</f>
        <v>0</v>
      </c>
      <c r="K132" s="132">
        <f>'CS_4 member 4'!K10</f>
        <v>0</v>
      </c>
      <c r="L132" s="132">
        <f>'CS_4 member 4'!L10</f>
        <v>1.7325790456938678E-8</v>
      </c>
      <c r="M132" s="29">
        <f>C133</f>
        <v>-180000</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100</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x14ac:dyDescent="0.25">
      <c r="A133" s="331"/>
      <c r="B133" s="41" t="s">
        <v>105</v>
      </c>
      <c r="C133" s="43">
        <v>-180000</v>
      </c>
      <c r="G133" s="111"/>
      <c r="H133" s="111"/>
      <c r="I133" s="111"/>
      <c r="J133" s="125"/>
      <c r="K133" s="125"/>
      <c r="L133" s="125"/>
      <c r="M133" s="125"/>
      <c r="O133" s="31">
        <v>0</v>
      </c>
      <c r="P133" s="31">
        <v>1</v>
      </c>
      <c r="Q133" s="31">
        <v>0</v>
      </c>
      <c r="R133" s="31">
        <v>0</v>
      </c>
      <c r="S133" s="11"/>
      <c r="T133" s="31">
        <v>0</v>
      </c>
      <c r="U133" s="31">
        <v>1</v>
      </c>
      <c r="V133" s="31">
        <v>0</v>
      </c>
      <c r="W133" s="31">
        <v>0</v>
      </c>
      <c r="X133" s="31"/>
      <c r="Y133" s="31"/>
      <c r="Z133" s="31"/>
      <c r="AA133" s="31"/>
      <c r="AB133" t="s">
        <v>69</v>
      </c>
      <c r="AC133" s="29">
        <v>500</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x14ac:dyDescent="0.25">
      <c r="A134" s="331"/>
      <c r="B134" s="41" t="s">
        <v>108</v>
      </c>
      <c r="C134" s="43">
        <v>1</v>
      </c>
      <c r="G134" s="111"/>
      <c r="H134" s="111"/>
      <c r="I134" s="111"/>
      <c r="J134" s="125"/>
      <c r="K134" s="125"/>
      <c r="L134" s="125"/>
      <c r="M134" s="125"/>
      <c r="O134" s="31">
        <v>0</v>
      </c>
      <c r="P134" s="31">
        <v>0</v>
      </c>
      <c r="Q134" s="31">
        <v>1</v>
      </c>
      <c r="R134" s="31">
        <v>0</v>
      </c>
      <c r="S134" s="11"/>
      <c r="T134" s="31">
        <v>0</v>
      </c>
      <c r="U134" s="31">
        <v>0</v>
      </c>
      <c r="V134" s="31">
        <v>1</v>
      </c>
      <c r="W134" s="31">
        <v>0</v>
      </c>
      <c r="X134" s="31"/>
      <c r="Y134" s="31"/>
      <c r="Z134" s="31"/>
      <c r="AA134" s="31"/>
      <c r="AB134" t="s">
        <v>70</v>
      </c>
      <c r="AC134" s="29">
        <v>-350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2" customFormat="1" x14ac:dyDescent="0.25">
      <c r="A135" s="331"/>
      <c r="B135" s="77" t="s">
        <v>183</v>
      </c>
      <c r="C135"/>
      <c r="D135" s="89" t="s">
        <v>246</v>
      </c>
      <c r="E135"/>
      <c r="G135" s="127"/>
      <c r="H135" s="127"/>
      <c r="I135" s="127"/>
      <c r="J135" s="134"/>
      <c r="K135" s="134"/>
      <c r="L135" s="134"/>
      <c r="M135" s="134"/>
      <c r="O135" s="123">
        <v>0</v>
      </c>
      <c r="P135" s="123">
        <v>0</v>
      </c>
      <c r="Q135" s="123">
        <v>0</v>
      </c>
      <c r="R135" s="123">
        <v>1</v>
      </c>
      <c r="S135" s="124"/>
      <c r="T135" s="123">
        <v>0</v>
      </c>
      <c r="U135" s="123">
        <v>0</v>
      </c>
      <c r="V135" s="123">
        <v>0</v>
      </c>
      <c r="W135" s="123">
        <v>1</v>
      </c>
      <c r="X135" s="123"/>
      <c r="Y135" s="123"/>
      <c r="Z135" s="123"/>
      <c r="AA135" s="123"/>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2" customFormat="1" x14ac:dyDescent="0.25">
      <c r="A136" s="331"/>
      <c r="B136" s="41" t="s">
        <v>100</v>
      </c>
      <c r="C136" s="42">
        <v>0</v>
      </c>
      <c r="D136" s="41" t="s">
        <v>100</v>
      </c>
      <c r="E136" s="43">
        <f>C127+C136</f>
        <v>0</v>
      </c>
      <c r="F136" s="130"/>
      <c r="G136" s="134"/>
      <c r="H136" s="137"/>
      <c r="I136" s="134"/>
      <c r="J136" s="134"/>
      <c r="K136" s="134"/>
      <c r="L136" s="134"/>
      <c r="M136" s="134"/>
      <c r="O136" s="123"/>
      <c r="P136" s="123"/>
      <c r="Q136" s="123"/>
      <c r="R136" s="123"/>
      <c r="S136" s="124"/>
      <c r="T136" s="123"/>
      <c r="U136" s="123"/>
      <c r="V136" s="123"/>
      <c r="W136" s="123"/>
      <c r="X136" s="123"/>
      <c r="Y136" s="123"/>
      <c r="Z136" s="123"/>
      <c r="AA136" s="123"/>
      <c r="AC136" s="32"/>
      <c r="AD136" s="32"/>
      <c r="AE136" s="32"/>
      <c r="AF136" s="32"/>
      <c r="AG136" s="32"/>
      <c r="AH136" s="32"/>
      <c r="AJ136" s="32"/>
      <c r="AK136" s="32"/>
      <c r="AL136" s="32"/>
      <c r="AM136" s="32"/>
      <c r="AO136" s="32"/>
      <c r="AP136" s="32"/>
      <c r="AQ136" s="32"/>
      <c r="AR136" s="32"/>
    </row>
    <row r="137" spans="1:59" s="122" customFormat="1" x14ac:dyDescent="0.25">
      <c r="A137" s="331"/>
      <c r="B137" s="41" t="s">
        <v>101</v>
      </c>
      <c r="C137" s="42">
        <v>0</v>
      </c>
      <c r="D137" s="41" t="s">
        <v>101</v>
      </c>
      <c r="E137" s="43">
        <f>C128+C137</f>
        <v>-300</v>
      </c>
      <c r="F137" s="130"/>
      <c r="G137" s="134"/>
      <c r="H137" s="137"/>
      <c r="I137" s="134"/>
      <c r="J137" s="134"/>
      <c r="K137" s="134"/>
      <c r="L137" s="134"/>
      <c r="M137" s="134"/>
      <c r="O137" s="123"/>
      <c r="P137" s="123"/>
      <c r="Q137" s="123"/>
      <c r="R137" s="123"/>
      <c r="S137" s="124"/>
      <c r="T137" s="123"/>
      <c r="U137" s="123"/>
      <c r="V137" s="123"/>
      <c r="W137" s="123"/>
      <c r="X137" s="123"/>
      <c r="Y137" s="123"/>
      <c r="Z137" s="123"/>
      <c r="AA137" s="123"/>
      <c r="AC137" s="32"/>
      <c r="AD137" s="32"/>
      <c r="AE137" s="32"/>
      <c r="AF137" s="32"/>
      <c r="AG137" s="32"/>
      <c r="AH137" s="32"/>
      <c r="AJ137" s="32"/>
      <c r="AK137" s="32"/>
      <c r="AL137" s="32"/>
      <c r="AM137" s="32"/>
      <c r="AO137" s="32"/>
      <c r="AP137" s="32"/>
      <c r="AQ137" s="32"/>
      <c r="AR137" s="32"/>
    </row>
    <row r="138" spans="1:59" s="122" customFormat="1" x14ac:dyDescent="0.25">
      <c r="A138" s="331"/>
      <c r="B138" s="41" t="s">
        <v>102</v>
      </c>
      <c r="C138" s="42">
        <v>0</v>
      </c>
      <c r="D138" s="41" t="s">
        <v>102</v>
      </c>
      <c r="E138" s="43">
        <f>C129+C138</f>
        <v>0</v>
      </c>
      <c r="F138" s="130"/>
      <c r="G138" s="134"/>
      <c r="H138" s="137"/>
      <c r="I138" s="134"/>
      <c r="J138" s="134"/>
      <c r="K138" s="134"/>
      <c r="L138" s="134"/>
      <c r="M138" s="134"/>
      <c r="O138" s="123"/>
      <c r="P138" s="123"/>
      <c r="Q138" s="123"/>
      <c r="R138" s="123"/>
      <c r="S138" s="124"/>
      <c r="T138" s="123"/>
      <c r="U138" s="123"/>
      <c r="V138" s="123"/>
      <c r="W138" s="123"/>
      <c r="X138" s="123"/>
      <c r="Y138" s="123"/>
      <c r="Z138" s="123"/>
      <c r="AA138" s="123"/>
      <c r="AC138" s="32"/>
      <c r="AD138" s="32"/>
      <c r="AE138" s="32"/>
      <c r="AF138" s="32"/>
      <c r="AG138" s="32"/>
      <c r="AH138" s="32"/>
      <c r="AJ138" s="32"/>
      <c r="AK138" s="32"/>
      <c r="AL138" s="32"/>
      <c r="AM138" s="32"/>
      <c r="AO138" s="32"/>
      <c r="AP138" s="32"/>
      <c r="AQ138" s="32"/>
      <c r="AR138" s="32"/>
    </row>
    <row r="139" spans="1:59" s="122" customFormat="1" x14ac:dyDescent="0.25">
      <c r="A139" s="331"/>
      <c r="B139" s="130" t="s">
        <v>108</v>
      </c>
      <c r="C139" s="131">
        <v>1</v>
      </c>
      <c r="D139" s="130" t="s">
        <v>108</v>
      </c>
      <c r="E139" s="131">
        <v>1</v>
      </c>
      <c r="F139" s="130"/>
      <c r="G139" s="134"/>
      <c r="H139" s="137"/>
      <c r="I139" s="134"/>
      <c r="J139" s="134"/>
      <c r="K139" s="134"/>
      <c r="L139" s="134"/>
      <c r="M139" s="134"/>
      <c r="O139" s="123"/>
      <c r="P139" s="123"/>
      <c r="Q139" s="123"/>
      <c r="R139" s="123"/>
      <c r="S139" s="124"/>
      <c r="T139" s="123"/>
      <c r="U139" s="123"/>
      <c r="V139" s="123"/>
      <c r="W139" s="123"/>
      <c r="X139" s="123"/>
      <c r="Y139" s="123"/>
      <c r="Z139" s="123"/>
      <c r="AA139" s="123"/>
      <c r="AC139" s="32"/>
      <c r="AD139" s="32"/>
      <c r="AE139" s="32"/>
      <c r="AF139" s="32"/>
      <c r="AG139" s="32"/>
      <c r="AH139" s="32"/>
      <c r="AJ139" s="32"/>
      <c r="AK139" s="32"/>
      <c r="AL139" s="32"/>
      <c r="AM139" s="32"/>
      <c r="AO139" s="32"/>
      <c r="AP139" s="32"/>
      <c r="AQ139" s="32"/>
      <c r="AR139" s="32"/>
    </row>
    <row r="140" spans="1:59" s="122" customFormat="1" x14ac:dyDescent="0.25">
      <c r="A140" s="331"/>
      <c r="B140" s="41" t="s">
        <v>103</v>
      </c>
      <c r="C140" s="42">
        <v>0</v>
      </c>
      <c r="D140" s="41" t="s">
        <v>103</v>
      </c>
      <c r="E140" s="43">
        <f>C131+C140+C129*C87-C128*C88</f>
        <v>-105000</v>
      </c>
      <c r="F140" s="130"/>
      <c r="G140" s="134"/>
      <c r="H140" s="137"/>
      <c r="I140" s="134"/>
      <c r="J140" s="134"/>
      <c r="K140" s="134"/>
      <c r="L140" s="134"/>
      <c r="M140" s="134"/>
      <c r="O140" s="123"/>
      <c r="P140" s="123"/>
      <c r="Q140" s="123"/>
      <c r="R140" s="123"/>
      <c r="S140" s="124"/>
      <c r="T140" s="123"/>
      <c r="U140" s="123"/>
      <c r="V140" s="123"/>
      <c r="W140" s="123"/>
      <c r="X140" s="123"/>
      <c r="Y140" s="123"/>
      <c r="Z140" s="123"/>
      <c r="AA140" s="123"/>
      <c r="AC140" s="32"/>
      <c r="AD140" s="32"/>
      <c r="AE140" s="32"/>
      <c r="AF140" s="32"/>
      <c r="AG140" s="32"/>
      <c r="AH140" s="32"/>
      <c r="AJ140" s="32"/>
      <c r="AK140" s="32"/>
      <c r="AL140" s="32"/>
      <c r="AM140" s="32"/>
      <c r="AO140" s="32"/>
      <c r="AP140" s="32"/>
      <c r="AQ140" s="32"/>
      <c r="AR140" s="32"/>
    </row>
    <row r="141" spans="1:59" s="122" customFormat="1" x14ac:dyDescent="0.25">
      <c r="A141" s="331"/>
      <c r="B141" s="41" t="s">
        <v>104</v>
      </c>
      <c r="C141" s="42">
        <v>0</v>
      </c>
      <c r="D141" s="41" t="s">
        <v>104</v>
      </c>
      <c r="E141" s="43">
        <f>C132+C141+C127*C88-C129*C86</f>
        <v>0</v>
      </c>
      <c r="F141" s="130"/>
      <c r="G141" s="134"/>
      <c r="H141" s="137"/>
      <c r="I141" s="134"/>
      <c r="J141" s="134"/>
      <c r="K141" s="134"/>
      <c r="L141" s="134"/>
      <c r="M141" s="134"/>
      <c r="O141" s="123"/>
      <c r="P141" s="123"/>
      <c r="Q141" s="123"/>
      <c r="R141" s="123"/>
      <c r="S141" s="124"/>
      <c r="T141" s="123"/>
      <c r="U141" s="123"/>
      <c r="V141" s="123"/>
      <c r="W141" s="123"/>
      <c r="X141" s="123"/>
      <c r="Y141" s="123"/>
      <c r="Z141" s="123"/>
      <c r="AA141" s="123"/>
      <c r="AC141" s="32"/>
      <c r="AD141" s="32"/>
      <c r="AE141" s="32"/>
      <c r="AF141" s="32"/>
      <c r="AG141" s="32"/>
      <c r="AH141" s="32"/>
      <c r="AJ141" s="32"/>
      <c r="AK141" s="32"/>
      <c r="AL141" s="32"/>
      <c r="AM141" s="32"/>
      <c r="AO141" s="32"/>
      <c r="AP141" s="32"/>
      <c r="AQ141" s="32"/>
      <c r="AR141" s="32"/>
    </row>
    <row r="142" spans="1:59" s="122" customFormat="1" x14ac:dyDescent="0.25">
      <c r="A142" s="331"/>
      <c r="B142" s="41" t="s">
        <v>105</v>
      </c>
      <c r="C142" s="42">
        <v>0</v>
      </c>
      <c r="D142" s="41" t="s">
        <v>105</v>
      </c>
      <c r="E142" s="43">
        <f>C133+C142+C128*C86-C127*C87</f>
        <v>-30000</v>
      </c>
      <c r="F142" s="130"/>
      <c r="G142" s="134"/>
      <c r="H142" s="137"/>
      <c r="I142" s="134"/>
      <c r="J142" s="134"/>
      <c r="K142" s="134"/>
      <c r="L142" s="134"/>
      <c r="M142" s="134"/>
      <c r="O142" s="123"/>
      <c r="P142" s="123"/>
      <c r="Q142" s="123"/>
      <c r="R142" s="123"/>
      <c r="S142" s="124"/>
      <c r="T142" s="123"/>
      <c r="U142" s="123"/>
      <c r="V142" s="123"/>
      <c r="W142" s="123"/>
      <c r="X142" s="123"/>
      <c r="Y142" s="123"/>
      <c r="Z142" s="123"/>
      <c r="AA142" s="123"/>
      <c r="AC142" s="32"/>
      <c r="AD142" s="32"/>
      <c r="AE142" s="32"/>
      <c r="AF142" s="32"/>
      <c r="AG142" s="32"/>
      <c r="AH142" s="32"/>
      <c r="AJ142" s="32"/>
      <c r="AK142" s="32"/>
      <c r="AL142" s="32"/>
      <c r="AM142" s="32"/>
      <c r="AO142" s="32"/>
      <c r="AP142" s="32"/>
      <c r="AQ142" s="32"/>
      <c r="AR142" s="32"/>
    </row>
    <row r="143" spans="1:59" s="52" customFormat="1" ht="16.5" thickBot="1" x14ac:dyDescent="0.3">
      <c r="A143" s="332"/>
      <c r="B143" s="57" t="s">
        <v>108</v>
      </c>
      <c r="C143" s="58">
        <v>1</v>
      </c>
      <c r="D143" s="57" t="s">
        <v>108</v>
      </c>
      <c r="E143" s="58">
        <v>1</v>
      </c>
      <c r="F143" s="57"/>
      <c r="G143" s="135"/>
      <c r="H143" s="138"/>
      <c r="I143" s="135"/>
      <c r="J143" s="135"/>
      <c r="K143" s="135"/>
      <c r="L143" s="135"/>
      <c r="M143" s="135"/>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x14ac:dyDescent="0.25">
      <c r="A144" s="334" t="s">
        <v>327</v>
      </c>
      <c r="B144" s="68" t="s">
        <v>250</v>
      </c>
      <c r="E144" s="1" t="s">
        <v>144</v>
      </c>
    </row>
    <row r="145" spans="1:62" ht="15" customHeight="1" x14ac:dyDescent="0.25">
      <c r="A145" s="334"/>
      <c r="B145" s="12" t="s">
        <v>73</v>
      </c>
      <c r="C145" s="56">
        <f>C123</f>
        <v>100</v>
      </c>
      <c r="E145" s="319" t="s">
        <v>138</v>
      </c>
      <c r="F145" s="319"/>
      <c r="G145" s="319" t="s">
        <v>139</v>
      </c>
      <c r="H145" s="319"/>
      <c r="N145" s="34" t="s">
        <v>98</v>
      </c>
      <c r="O145" s="1"/>
      <c r="P145" s="67"/>
      <c r="Q145" s="1"/>
      <c r="R145" s="1"/>
      <c r="S145" s="34" t="s">
        <v>136</v>
      </c>
      <c r="Y145" s="94" t="s">
        <v>297</v>
      </c>
    </row>
    <row r="146" spans="1:62" ht="15" customHeight="1" x14ac:dyDescent="0.25">
      <c r="A146" s="334"/>
      <c r="B146" s="12" t="s">
        <v>74</v>
      </c>
      <c r="C146" s="56">
        <f>C124</f>
        <v>500</v>
      </c>
      <c r="E146" s="46" t="s">
        <v>84</v>
      </c>
      <c r="F146" s="48">
        <f>'CS_5 Bridge'!B45</f>
        <v>5.0000000000000001E-3</v>
      </c>
      <c r="G146" s="46" t="s">
        <v>84</v>
      </c>
      <c r="H146" s="48">
        <f>'CS_5 Bridge'!B52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x14ac:dyDescent="0.25">
      <c r="A147" s="334"/>
      <c r="B147" s="12" t="s">
        <v>75</v>
      </c>
      <c r="C147" s="56">
        <f>C125</f>
        <v>-350</v>
      </c>
      <c r="E147" s="46" t="s">
        <v>112</v>
      </c>
      <c r="F147" s="48">
        <f>'CS_5 Bridge'!B46</f>
        <v>5.0000000000000001E-3</v>
      </c>
      <c r="G147" s="46" t="s">
        <v>112</v>
      </c>
      <c r="H147" s="48">
        <f>'CS_5 Bridge'!B53</f>
        <v>0</v>
      </c>
      <c r="N147" s="46" t="s">
        <v>84</v>
      </c>
      <c r="O147" s="50">
        <f>ABS(F146)</f>
        <v>5.0000000000000001E-3</v>
      </c>
      <c r="P147" s="50">
        <f>ABS(F149*O161)</f>
        <v>0</v>
      </c>
      <c r="Q147" s="50">
        <f>ABS(F150*P161)</f>
        <v>3.5004993816200557E-2</v>
      </c>
      <c r="R147" s="50">
        <f>ABS(F151*Q161)</f>
        <v>5.0004991666250512E-2</v>
      </c>
      <c r="S147" s="46" t="s">
        <v>84</v>
      </c>
      <c r="T147" s="49">
        <f t="array" ref="T147:W150">ABS(MMULT(T165:W168,O147:R150))</f>
        <v>5.0000000000000001E-3</v>
      </c>
      <c r="U147" s="49">
        <v>0</v>
      </c>
      <c r="V147" s="49">
        <v>3.5004993816200557E-2</v>
      </c>
      <c r="W147" s="49">
        <v>5.0004991666250512E-2</v>
      </c>
      <c r="X147" s="70" t="s">
        <v>84</v>
      </c>
      <c r="Y147" s="49">
        <f>F153+F160</f>
        <v>0</v>
      </c>
      <c r="Z147" s="29">
        <f>F156*O161</f>
        <v>0</v>
      </c>
      <c r="AA147" s="29">
        <f>F157*P161</f>
        <v>0</v>
      </c>
      <c r="AB147" s="29">
        <f>F158*Q161</f>
        <v>1.4995499300155082E-3</v>
      </c>
    </row>
    <row r="148" spans="1:62" ht="15" customHeight="1" x14ac:dyDescent="0.25">
      <c r="A148" s="60">
        <v>5</v>
      </c>
      <c r="B148" s="1" t="s">
        <v>76</v>
      </c>
      <c r="E148" s="46" t="s">
        <v>113</v>
      </c>
      <c r="F148" s="48">
        <f>'CS_5 Bridge'!B47</f>
        <v>5.0000000000000001E-3</v>
      </c>
      <c r="G148" s="46" t="s">
        <v>113</v>
      </c>
      <c r="H148" s="48">
        <f>'CS_5 Bridge'!B54</f>
        <v>0</v>
      </c>
      <c r="N148" s="46" t="s">
        <v>112</v>
      </c>
      <c r="O148" s="50">
        <f t="shared" ref="O148:O149" si="33">ABS(F147)</f>
        <v>5.0000000000000001E-3</v>
      </c>
      <c r="P148" s="50">
        <f>ABS(F149*O162)</f>
        <v>3.4974994168749191E-2</v>
      </c>
      <c r="Q148" s="50">
        <f>ABS(F150*P162)</f>
        <v>0</v>
      </c>
      <c r="R148" s="50">
        <f>ABS(F151*Q162)</f>
        <v>9.9749983354172466E-3</v>
      </c>
      <c r="S148" s="46" t="s">
        <v>112</v>
      </c>
      <c r="T148" s="49">
        <v>5.0000000000000001E-3</v>
      </c>
      <c r="U148" s="49">
        <v>3.4974994168749191E-2</v>
      </c>
      <c r="V148" s="49">
        <v>0</v>
      </c>
      <c r="W148" s="49">
        <v>9.9749983354172466E-3</v>
      </c>
      <c r="X148" s="70" t="s">
        <v>112</v>
      </c>
      <c r="Y148" s="49">
        <f t="shared" ref="Y148:Y149" si="34">F154+F161</f>
        <v>-4.6622674399194957E-4</v>
      </c>
      <c r="Z148" s="29">
        <f>F156*O162</f>
        <v>-3.6709060253085385E-3</v>
      </c>
      <c r="AA148" s="29">
        <f>F157*P162</f>
        <v>0</v>
      </c>
      <c r="AB148" s="29">
        <f>F158*Q162</f>
        <v>-2.9913029794333986E-4</v>
      </c>
    </row>
    <row r="149" spans="1:62" ht="15" customHeight="1" x14ac:dyDescent="0.25">
      <c r="A149" s="43">
        <f>IF(A148&gt;Naxes,0,1)</f>
        <v>0</v>
      </c>
      <c r="B149" s="2" t="s">
        <v>177</v>
      </c>
      <c r="C149" s="37">
        <v>0</v>
      </c>
      <c r="E149" s="4" t="s">
        <v>85</v>
      </c>
      <c r="F149" s="48">
        <f>'CS_5 Bridge'!B48</f>
        <v>1.0000000000000007E-4</v>
      </c>
      <c r="G149" s="4" t="s">
        <v>85</v>
      </c>
      <c r="H149" s="48">
        <f>'CS_5 Bridge'!B55</f>
        <v>0</v>
      </c>
      <c r="N149" s="46" t="s">
        <v>113</v>
      </c>
      <c r="O149" s="50">
        <f t="shared" si="33"/>
        <v>5.0000000000000001E-3</v>
      </c>
      <c r="P149" s="50">
        <f>ABS(F149*O163)</f>
        <v>5.0017491665209982E-2</v>
      </c>
      <c r="Q149" s="50">
        <f>ABS(F150*P163)</f>
        <v>9.9824982349707887E-3</v>
      </c>
      <c r="R149" s="50">
        <f>ABS(F151*Q163)</f>
        <v>0</v>
      </c>
      <c r="S149" s="46" t="s">
        <v>113</v>
      </c>
      <c r="T149" s="49">
        <v>5.0000000000000001E-3</v>
      </c>
      <c r="U149" s="49">
        <v>5.0017491665209982E-2</v>
      </c>
      <c r="V149" s="49">
        <v>9.9824982349707887E-3</v>
      </c>
      <c r="W149" s="49">
        <v>0</v>
      </c>
      <c r="X149" s="70" t="s">
        <v>113</v>
      </c>
      <c r="Y149" s="49">
        <f t="shared" si="34"/>
        <v>0</v>
      </c>
      <c r="Z149" s="29">
        <f>F156*O163</f>
        <v>-5.2497367301549821E-3</v>
      </c>
      <c r="AA149" s="29">
        <f>F157*P163</f>
        <v>0</v>
      </c>
      <c r="AB149" s="29">
        <f>F158*Q163</f>
        <v>0</v>
      </c>
    </row>
    <row r="150" spans="1:62" ht="15" customHeight="1" x14ac:dyDescent="0.25">
      <c r="A150" s="336" t="s">
        <v>127</v>
      </c>
      <c r="B150" s="2" t="s">
        <v>179</v>
      </c>
      <c r="C150" s="37">
        <v>0</v>
      </c>
      <c r="E150" s="4" t="s">
        <v>86</v>
      </c>
      <c r="F150" s="48">
        <f>'CS_5 Bridge'!B49</f>
        <v>9.9999999000000077E-5</v>
      </c>
      <c r="G150" s="4" t="s">
        <v>86</v>
      </c>
      <c r="H150" s="48">
        <f>'CS_5 Bridge'!B56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x14ac:dyDescent="0.25">
      <c r="A151" s="336"/>
      <c r="B151" s="2" t="s">
        <v>178</v>
      </c>
      <c r="C151" s="37">
        <v>0</v>
      </c>
      <c r="E151" s="4" t="s">
        <v>87</v>
      </c>
      <c r="F151" s="48">
        <f>'CS_5 Bridge'!B50</f>
        <v>1.0000000000000007E-4</v>
      </c>
      <c r="G151" s="4" t="s">
        <v>87</v>
      </c>
      <c r="H151" s="48">
        <f>'CS_5 Bridge'!B57</f>
        <v>0</v>
      </c>
      <c r="X151" s="6"/>
    </row>
    <row r="152" spans="1:62" ht="30.95" customHeight="1" x14ac:dyDescent="0.25">
      <c r="A152" s="336"/>
      <c r="B152" s="2" t="s">
        <v>245</v>
      </c>
      <c r="C152" s="37">
        <v>0</v>
      </c>
      <c r="E152" s="317" t="s">
        <v>303</v>
      </c>
      <c r="F152" s="317"/>
      <c r="G152" s="319" t="s">
        <v>251</v>
      </c>
      <c r="H152" s="319"/>
      <c r="I152" s="317" t="s">
        <v>306</v>
      </c>
      <c r="J152" s="317"/>
      <c r="K152" s="317" t="s">
        <v>304</v>
      </c>
      <c r="L152" s="317"/>
      <c r="N152" s="34" t="s">
        <v>99</v>
      </c>
      <c r="O152" s="1"/>
      <c r="P152" s="67"/>
      <c r="Q152" s="1"/>
      <c r="R152" s="1"/>
      <c r="S152" s="34" t="s">
        <v>137</v>
      </c>
      <c r="X152" s="6"/>
      <c r="Y152" s="94" t="s">
        <v>296</v>
      </c>
    </row>
    <row r="153" spans="1:62" ht="15" customHeight="1" x14ac:dyDescent="0.25">
      <c r="A153" s="336"/>
      <c r="B153" s="2" t="s">
        <v>77</v>
      </c>
      <c r="C153" s="38">
        <v>0</v>
      </c>
      <c r="E153" s="46" t="s">
        <v>84</v>
      </c>
      <c r="F153" s="49">
        <f>E169/IF(H153=0,1000000000000,H153)</f>
        <v>0</v>
      </c>
      <c r="G153" s="4" t="s">
        <v>117</v>
      </c>
      <c r="H153" s="29">
        <f>'CS_5 Bridge'!B25</f>
        <v>4000000</v>
      </c>
      <c r="I153" s="4" t="s">
        <v>85</v>
      </c>
      <c r="J153" s="49">
        <f>A182*F196</f>
        <v>0</v>
      </c>
      <c r="K153" s="4" t="s">
        <v>85</v>
      </c>
      <c r="L153" s="139">
        <f t="array" ref="L153:L156">MMULT(MINVERSE(O165:R168),J153:J156)</f>
        <v>0</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x14ac:dyDescent="0.25">
      <c r="A154" s="330" t="s">
        <v>335</v>
      </c>
      <c r="B154" s="2" t="s">
        <v>107</v>
      </c>
      <c r="C154" s="100">
        <f>'CS_6 X-axis'!B12+'CS_5 Bridge'!B13/2</f>
        <v>550.79999999999995</v>
      </c>
      <c r="E154" s="46" t="s">
        <v>112</v>
      </c>
      <c r="F154" s="49">
        <f t="shared" ref="F154:F155" si="35">E170/IF(H154=0,1000000000000,H154)</f>
        <v>-7.4999999999999993E-5</v>
      </c>
      <c r="G154" s="4" t="s">
        <v>118</v>
      </c>
      <c r="H154" s="29">
        <f>'CS_5 Bridge'!B26</f>
        <v>4000000</v>
      </c>
      <c r="I154" s="4" t="s">
        <v>86</v>
      </c>
      <c r="J154" s="49">
        <f>A182*F197</f>
        <v>0</v>
      </c>
      <c r="K154" s="4" t="s">
        <v>86</v>
      </c>
      <c r="L154" s="139">
        <v>0</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0</v>
      </c>
      <c r="Z154" s="29">
        <f t="array" ref="Z154:Z157">MMULT(T165:W168,Z147:Z150)</f>
        <v>0</v>
      </c>
      <c r="AA154" s="29">
        <f t="array" ref="AA154:AA157">MMULT(T165:W168,AA147:AA150)</f>
        <v>0</v>
      </c>
      <c r="AB154" s="29">
        <f t="array" ref="AB154:AB157">MMULT(T165:W168,AB147:AB150)</f>
        <v>1.4995499300155082E-3</v>
      </c>
    </row>
    <row r="155" spans="1:62" ht="15" customHeight="1" x14ac:dyDescent="0.25">
      <c r="A155" s="331"/>
      <c r="B155" s="34" t="s">
        <v>78</v>
      </c>
      <c r="E155" s="46" t="s">
        <v>113</v>
      </c>
      <c r="F155" s="49">
        <f t="shared" si="35"/>
        <v>0</v>
      </c>
      <c r="G155" s="4" t="s">
        <v>119</v>
      </c>
      <c r="H155" s="29">
        <f>'CS_5 Bridge'!B27</f>
        <v>4000000</v>
      </c>
      <c r="I155" s="4" t="s">
        <v>87</v>
      </c>
      <c r="J155" s="49">
        <f>A182*F198</f>
        <v>0</v>
      </c>
      <c r="K155" s="4" t="s">
        <v>87</v>
      </c>
      <c r="L155" s="139">
        <v>0</v>
      </c>
      <c r="N155" s="46" t="s">
        <v>112</v>
      </c>
      <c r="O155" s="50">
        <f>H147</f>
        <v>0</v>
      </c>
      <c r="P155" s="50">
        <f>H149*O162</f>
        <v>0</v>
      </c>
      <c r="Q155" s="50">
        <f>H150*P162</f>
        <v>0</v>
      </c>
      <c r="R155" s="50">
        <f>H151*Q162</f>
        <v>0</v>
      </c>
      <c r="S155" s="46" t="s">
        <v>112</v>
      </c>
      <c r="T155" s="50">
        <v>0</v>
      </c>
      <c r="U155" s="50">
        <v>0</v>
      </c>
      <c r="V155" s="50">
        <v>0</v>
      </c>
      <c r="W155" s="50">
        <v>0</v>
      </c>
      <c r="X155" s="70" t="s">
        <v>112</v>
      </c>
      <c r="Y155" s="29">
        <v>-4.6622674399194957E-4</v>
      </c>
      <c r="Z155" s="29">
        <v>-3.6709060253085385E-3</v>
      </c>
      <c r="AA155" s="29">
        <v>0</v>
      </c>
      <c r="AB155" s="29">
        <v>-2.9913029794333986E-4</v>
      </c>
    </row>
    <row r="156" spans="1:62" ht="15" customHeight="1" x14ac:dyDescent="0.25">
      <c r="A156" s="331"/>
      <c r="B156" s="12" t="s">
        <v>79</v>
      </c>
      <c r="C156" s="31">
        <f>AC165+C152</f>
        <v>100</v>
      </c>
      <c r="E156" s="4" t="s">
        <v>85</v>
      </c>
      <c r="F156" s="49">
        <f>E173/IF(H156=0,1000000000000,H156)+L153</f>
        <v>-1.0495801679328269E-5</v>
      </c>
      <c r="G156" s="46" t="s">
        <v>8</v>
      </c>
      <c r="H156" s="29">
        <f>'CS_5 Bridge'!B29</f>
        <v>10004000000</v>
      </c>
      <c r="I156" s="4" t="s">
        <v>305</v>
      </c>
      <c r="J156" s="29">
        <v>1</v>
      </c>
      <c r="K156" s="4" t="s">
        <v>305</v>
      </c>
      <c r="L156" s="139">
        <v>1</v>
      </c>
      <c r="N156" s="46" t="s">
        <v>113</v>
      </c>
      <c r="O156" s="50">
        <f>H148</f>
        <v>0</v>
      </c>
      <c r="P156" s="50">
        <f>H149*O163</f>
        <v>0</v>
      </c>
      <c r="Q156" s="50">
        <f>H150*P163</f>
        <v>0</v>
      </c>
      <c r="R156" s="50">
        <f>H151*Q163</f>
        <v>0</v>
      </c>
      <c r="S156" s="46" t="s">
        <v>113</v>
      </c>
      <c r="T156" s="50">
        <v>0</v>
      </c>
      <c r="U156" s="50">
        <v>0</v>
      </c>
      <c r="V156" s="50">
        <v>0</v>
      </c>
      <c r="W156" s="50">
        <v>0</v>
      </c>
      <c r="X156" s="70" t="s">
        <v>113</v>
      </c>
      <c r="Y156" s="29">
        <v>0</v>
      </c>
      <c r="Z156" s="29">
        <v>-5.2497367301549821E-3</v>
      </c>
      <c r="AA156" s="29">
        <v>0</v>
      </c>
      <c r="AB156" s="29">
        <v>0</v>
      </c>
    </row>
    <row r="157" spans="1:62" ht="15" customHeight="1" x14ac:dyDescent="0.25">
      <c r="A157" s="331"/>
      <c r="B157" s="12" t="s">
        <v>80</v>
      </c>
      <c r="C157" s="31">
        <f>AC166+C153</f>
        <v>500</v>
      </c>
      <c r="E157" s="4" t="s">
        <v>86</v>
      </c>
      <c r="F157" s="49">
        <f t="shared" ref="F157:F158" si="36">E174/IF(H157=0,1000000000000,H157)+L154</f>
        <v>0</v>
      </c>
      <c r="G157" s="46" t="s">
        <v>120</v>
      </c>
      <c r="H157" s="29">
        <f>'CS_5 Bridge'!B30</f>
        <v>20004000000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x14ac:dyDescent="0.25">
      <c r="A158" s="331"/>
      <c r="B158" s="12" t="s">
        <v>81</v>
      </c>
      <c r="C158" s="31">
        <f>AC167+C154</f>
        <v>200.79999999999995</v>
      </c>
      <c r="E158" s="4" t="s">
        <v>87</v>
      </c>
      <c r="F158" s="49">
        <f t="shared" si="36"/>
        <v>-2.9988004798080768E-6</v>
      </c>
      <c r="G158" s="46" t="s">
        <v>116</v>
      </c>
      <c r="H158" s="29">
        <f>'CS_5 Bridge'!B31</f>
        <v>10004000000</v>
      </c>
      <c r="AB158" s="5"/>
      <c r="AU158" s="5" t="s">
        <v>67</v>
      </c>
      <c r="AZ158" s="5" t="s">
        <v>92</v>
      </c>
      <c r="BE158" s="5" t="s">
        <v>97</v>
      </c>
      <c r="BJ158" s="5" t="s">
        <v>97</v>
      </c>
    </row>
    <row r="159" spans="1:62" ht="31.5" x14ac:dyDescent="0.25">
      <c r="A159" s="331"/>
      <c r="B159" s="69" t="s">
        <v>106</v>
      </c>
      <c r="E159" s="319" t="s">
        <v>294</v>
      </c>
      <c r="F159" s="333"/>
      <c r="G159" s="327" t="s">
        <v>293</v>
      </c>
      <c r="H159" s="328"/>
      <c r="I159" s="328"/>
      <c r="J159" s="328"/>
      <c r="K159" s="328"/>
      <c r="L159" s="329"/>
      <c r="M159" s="93" t="s">
        <v>295</v>
      </c>
      <c r="N159" s="84" t="s">
        <v>248</v>
      </c>
      <c r="AE159" s="45" t="s">
        <v>227</v>
      </c>
      <c r="AF159" s="91">
        <v>1E-3</v>
      </c>
      <c r="AG159" s="45"/>
      <c r="AH159" s="45"/>
      <c r="AI159" s="45"/>
      <c r="AJ159" s="45" t="s">
        <v>93</v>
      </c>
      <c r="AK159" s="92">
        <v>1E-3</v>
      </c>
      <c r="AL159" s="7"/>
      <c r="AM159" s="7"/>
      <c r="AN159" s="45"/>
      <c r="AO159" s="45" t="s">
        <v>226</v>
      </c>
      <c r="AP159" s="91">
        <v>1E-3</v>
      </c>
      <c r="AU159" s="7" t="s">
        <v>0</v>
      </c>
      <c r="AV159" s="7" t="s">
        <v>1</v>
      </c>
      <c r="AW159" s="7" t="s">
        <v>2</v>
      </c>
      <c r="AZ159" s="7" t="s">
        <v>0</v>
      </c>
      <c r="BA159" s="7" t="s">
        <v>1</v>
      </c>
      <c r="BB159" s="7" t="s">
        <v>2</v>
      </c>
      <c r="BE159" s="7" t="s">
        <v>0</v>
      </c>
      <c r="BF159" s="7" t="s">
        <v>1</v>
      </c>
      <c r="BG159" s="7" t="s">
        <v>2</v>
      </c>
    </row>
    <row r="160" spans="1:62" ht="15" customHeight="1" x14ac:dyDescent="0.25">
      <c r="A160" s="331"/>
      <c r="B160" s="41" t="s">
        <v>100</v>
      </c>
      <c r="C160" s="43">
        <f t="array" ref="C160:C163">MMULT(O132:R135,E136:E139)</f>
        <v>0</v>
      </c>
      <c r="E160" s="46" t="s">
        <v>84</v>
      </c>
      <c r="F160" s="49">
        <f t="array" ref="F160:F165">MMULT(G160:L165,M160:M165)</f>
        <v>0</v>
      </c>
      <c r="G160" s="132">
        <f>'CS_5 Bridge'!G5</f>
        <v>6.1903605486770484E-5</v>
      </c>
      <c r="H160" s="132">
        <f>'CS_5 Bridge'!H5</f>
        <v>0</v>
      </c>
      <c r="I160" s="132">
        <f>'CS_5 Bridge'!I5</f>
        <v>0</v>
      </c>
      <c r="J160" s="132">
        <f>'CS_5 Bridge'!J5</f>
        <v>0</v>
      </c>
      <c r="K160" s="132">
        <f>'CS_5 Bridge'!K5</f>
        <v>0</v>
      </c>
      <c r="L160" s="132">
        <f>'CS_5 Bridge'!L5</f>
        <v>0</v>
      </c>
      <c r="M160" s="29">
        <f>C160</f>
        <v>0</v>
      </c>
      <c r="O160" s="7" t="s">
        <v>4</v>
      </c>
      <c r="P160" s="26" t="s">
        <v>5</v>
      </c>
      <c r="Q160" s="26" t="s">
        <v>6</v>
      </c>
      <c r="R160" s="26"/>
      <c r="S160" s="26"/>
      <c r="T160" s="26"/>
      <c r="U160" s="26"/>
      <c r="V160" s="26"/>
      <c r="W160" s="26"/>
      <c r="X160" s="26"/>
      <c r="Y160" s="26"/>
      <c r="Z160" s="26"/>
      <c r="AA160" s="26"/>
      <c r="AB160" t="s">
        <v>66</v>
      </c>
      <c r="AC160" s="29">
        <f>C145</f>
        <v>100</v>
      </c>
      <c r="AD160" s="29"/>
      <c r="AE160" s="78">
        <v>1</v>
      </c>
      <c r="AF160" s="49">
        <v>0</v>
      </c>
      <c r="AG160" s="49">
        <v>0</v>
      </c>
      <c r="AH160" s="79">
        <v>0</v>
      </c>
      <c r="AI160" s="80"/>
      <c r="AJ160" s="49">
        <f>COS(AK159)</f>
        <v>0.99999950000004167</v>
      </c>
      <c r="AK160" s="49">
        <v>0</v>
      </c>
      <c r="AL160" s="49">
        <f>-AJ162</f>
        <v>9.9999983333334168E-4</v>
      </c>
      <c r="AM160" s="49">
        <v>0</v>
      </c>
      <c r="AN160" s="80"/>
      <c r="AO160" s="49">
        <f>COS(AP159)</f>
        <v>0.99999950000004167</v>
      </c>
      <c r="AP160" s="49">
        <f>-AO161</f>
        <v>-9.9999983333334168E-4</v>
      </c>
      <c r="AQ160" s="49">
        <v>0</v>
      </c>
      <c r="AR160" s="49">
        <v>0</v>
      </c>
      <c r="AS160" s="80"/>
      <c r="AT160" s="29" t="s">
        <v>63</v>
      </c>
      <c r="AU160" s="49">
        <f t="array" ref="AU160:AU163">MMULT(AE160:AH163,$AC160:$AC163)</f>
        <v>100</v>
      </c>
      <c r="AV160" s="49">
        <f>AU160-$AC160</f>
        <v>0</v>
      </c>
      <c r="AW160" s="49">
        <f>AV160/AF159</f>
        <v>0</v>
      </c>
      <c r="AX160" s="80"/>
      <c r="AY160" s="29" t="s">
        <v>63</v>
      </c>
      <c r="AZ160" s="49">
        <f t="array" ref="AZ160:AZ163">MMULT(AJ160:AM163,$AC160:$AC163)</f>
        <v>99.649950058337495</v>
      </c>
      <c r="BA160" s="49">
        <f>AZ160-$AC160</f>
        <v>-0.35004994166250469</v>
      </c>
      <c r="BB160" s="49">
        <f>BA160/AK159</f>
        <v>-350.04994166250469</v>
      </c>
      <c r="BC160" s="80"/>
      <c r="BD160" s="29" t="s">
        <v>63</v>
      </c>
      <c r="BE160" s="49">
        <f t="array" ref="BE160:BE163">MMULT(AO160:AR163,$AC160:$AC163)</f>
        <v>99.499950083337495</v>
      </c>
      <c r="BF160" s="49">
        <f>BE160-$AC160</f>
        <v>-0.50004991666250476</v>
      </c>
      <c r="BG160" s="49">
        <f>BF160/AP159</f>
        <v>-500.04991666250476</v>
      </c>
    </row>
    <row r="161" spans="1:59" x14ac:dyDescent="0.25">
      <c r="A161" s="331"/>
      <c r="B161" s="41" t="s">
        <v>101</v>
      </c>
      <c r="C161" s="43">
        <v>-300</v>
      </c>
      <c r="E161" s="46" t="s">
        <v>112</v>
      </c>
      <c r="F161" s="49">
        <v>-3.9122674399194959E-4</v>
      </c>
      <c r="G161" s="132">
        <f>'CS_5 Bridge'!G6</f>
        <v>0</v>
      </c>
      <c r="H161" s="132">
        <f>'CS_5 Bridge'!H6</f>
        <v>1.3040891466398319E-6</v>
      </c>
      <c r="I161" s="132">
        <f>'CS_5 Bridge'!I6</f>
        <v>0</v>
      </c>
      <c r="J161" s="132">
        <f>'CS_5 Bridge'!J6</f>
        <v>0</v>
      </c>
      <c r="K161" s="132">
        <f>'CS_5 Bridge'!K6</f>
        <v>0</v>
      </c>
      <c r="L161" s="132">
        <f>'CS_5 Bridge'!L6</f>
        <v>0</v>
      </c>
      <c r="M161" s="29">
        <f t="shared" ref="M161:M162" si="37">C161</f>
        <v>-300</v>
      </c>
      <c r="N161" s="46" t="s">
        <v>84</v>
      </c>
      <c r="O161" s="31">
        <f>AW160</f>
        <v>0</v>
      </c>
      <c r="P161" s="31">
        <f>BB160</f>
        <v>-350.04994166250469</v>
      </c>
      <c r="Q161" s="31">
        <f>BG160</f>
        <v>-500.04991666250476</v>
      </c>
      <c r="AB161" t="s">
        <v>71</v>
      </c>
      <c r="AC161" s="29">
        <f>C146</f>
        <v>500</v>
      </c>
      <c r="AD161" s="29"/>
      <c r="AE161" s="78">
        <v>0</v>
      </c>
      <c r="AF161" s="49">
        <f>COS(AF159)</f>
        <v>0.99999950000004167</v>
      </c>
      <c r="AG161" s="49">
        <f>-SIN(AF159)</f>
        <v>-9.9999983333334168E-4</v>
      </c>
      <c r="AH161" s="79">
        <v>0</v>
      </c>
      <c r="AI161" s="80"/>
      <c r="AJ161" s="49">
        <v>0</v>
      </c>
      <c r="AK161" s="49">
        <v>1</v>
      </c>
      <c r="AL161" s="49">
        <v>0</v>
      </c>
      <c r="AM161" s="49">
        <v>0</v>
      </c>
      <c r="AN161" s="80"/>
      <c r="AO161" s="49">
        <f>SIN(AP159)</f>
        <v>9.9999983333334168E-4</v>
      </c>
      <c r="AP161" s="49">
        <f>AO160</f>
        <v>0.99999950000004167</v>
      </c>
      <c r="AQ161" s="49">
        <v>0</v>
      </c>
      <c r="AR161" s="49">
        <v>0</v>
      </c>
      <c r="AS161" s="80"/>
      <c r="AT161" s="29" t="s">
        <v>64</v>
      </c>
      <c r="AU161" s="49">
        <v>500.34974994168749</v>
      </c>
      <c r="AV161" s="49">
        <f>AU161-$AC161</f>
        <v>0.34974994168749163</v>
      </c>
      <c r="AW161" s="49">
        <f>AV161/AF159</f>
        <v>349.74994168749163</v>
      </c>
      <c r="AX161" s="80"/>
      <c r="AY161" s="29" t="s">
        <v>64</v>
      </c>
      <c r="AZ161" s="49">
        <v>500</v>
      </c>
      <c r="BA161" s="49">
        <f>AZ161-$AC161</f>
        <v>0</v>
      </c>
      <c r="BB161" s="49">
        <f>BA161/AK159</f>
        <v>0</v>
      </c>
      <c r="BC161" s="80"/>
      <c r="BD161" s="29" t="s">
        <v>64</v>
      </c>
      <c r="BE161" s="49">
        <v>500.09974998335417</v>
      </c>
      <c r="BF161" s="49">
        <f>BE161-$AC161</f>
        <v>9.97499833541724E-2</v>
      </c>
      <c r="BG161" s="49">
        <f>BF161/AP159</f>
        <v>99.7499833541724</v>
      </c>
    </row>
    <row r="162" spans="1:59" x14ac:dyDescent="0.25">
      <c r="A162" s="331"/>
      <c r="B162" s="41" t="s">
        <v>102</v>
      </c>
      <c r="C162" s="43">
        <v>0</v>
      </c>
      <c r="E162" s="46" t="s">
        <v>113</v>
      </c>
      <c r="F162" s="49">
        <v>0</v>
      </c>
      <c r="G162" s="132">
        <f>'CS_5 Bridge'!G7</f>
        <v>0</v>
      </c>
      <c r="H162" s="132">
        <f>'CS_5 Bridge'!H7</f>
        <v>0</v>
      </c>
      <c r="I162" s="132">
        <f>'CS_5 Bridge'!I7</f>
        <v>6.1903605486770484E-5</v>
      </c>
      <c r="J162" s="132">
        <f>'CS_5 Bridge'!J7</f>
        <v>0</v>
      </c>
      <c r="K162" s="132">
        <f>'CS_5 Bridge'!K7</f>
        <v>0</v>
      </c>
      <c r="L162" s="132">
        <f>'CS_5 Bridge'!L7</f>
        <v>0</v>
      </c>
      <c r="M162" s="29">
        <f t="shared" si="37"/>
        <v>0</v>
      </c>
      <c r="N162" s="46" t="s">
        <v>112</v>
      </c>
      <c r="O162" s="31">
        <f t="shared" ref="O162:O163" si="38">AW161</f>
        <v>349.74994168749163</v>
      </c>
      <c r="P162" s="31">
        <f t="shared" ref="P162:P163" si="39">BB161</f>
        <v>0</v>
      </c>
      <c r="Q162" s="31">
        <f t="shared" ref="Q162:Q163" si="40">BG161</f>
        <v>99.7499833541724</v>
      </c>
      <c r="AB162" t="s">
        <v>72</v>
      </c>
      <c r="AC162" s="29">
        <f>C147</f>
        <v>-350</v>
      </c>
      <c r="AD162" s="29"/>
      <c r="AE162" s="78">
        <v>0</v>
      </c>
      <c r="AF162" s="49">
        <f>-AG161</f>
        <v>9.9999983333334168E-4</v>
      </c>
      <c r="AG162" s="49">
        <f>AF161</f>
        <v>0.99999950000004167</v>
      </c>
      <c r="AH162" s="79">
        <v>0</v>
      </c>
      <c r="AI162" s="80"/>
      <c r="AJ162" s="49">
        <f>-SIN(AK159)</f>
        <v>-9.9999983333334168E-4</v>
      </c>
      <c r="AK162" s="49">
        <v>0</v>
      </c>
      <c r="AL162" s="49">
        <f>COS(AK159)</f>
        <v>0.99999950000004167</v>
      </c>
      <c r="AM162" s="49">
        <v>0</v>
      </c>
      <c r="AN162" s="80"/>
      <c r="AO162" s="49">
        <v>0</v>
      </c>
      <c r="AP162" s="49">
        <v>0</v>
      </c>
      <c r="AQ162" s="49">
        <v>1</v>
      </c>
      <c r="AR162" s="49">
        <v>0</v>
      </c>
      <c r="AS162" s="80"/>
      <c r="AT162" s="29" t="s">
        <v>65</v>
      </c>
      <c r="AU162" s="49">
        <v>-349.4998250833479</v>
      </c>
      <c r="AV162" s="49">
        <f>AU162-$AC162</f>
        <v>0.50017491665209945</v>
      </c>
      <c r="AW162" s="49">
        <f>AV162/AF159</f>
        <v>500.17491665209945</v>
      </c>
      <c r="AX162" s="80"/>
      <c r="AY162" s="29" t="s">
        <v>65</v>
      </c>
      <c r="AZ162" s="49">
        <v>-350.09982498334796</v>
      </c>
      <c r="BA162" s="49">
        <f>AZ162-$AC162</f>
        <v>-9.9824983347957641E-2</v>
      </c>
      <c r="BB162" s="49">
        <f>BA162/AK159</f>
        <v>-99.824983347957641</v>
      </c>
      <c r="BC162" s="80"/>
      <c r="BD162" s="29" t="s">
        <v>65</v>
      </c>
      <c r="BE162" s="49">
        <v>-350</v>
      </c>
      <c r="BF162" s="49">
        <f>BE162-$AC162</f>
        <v>0</v>
      </c>
      <c r="BG162" s="49">
        <f>BF162/AP159</f>
        <v>0</v>
      </c>
    </row>
    <row r="163" spans="1:59" ht="15" customHeight="1" x14ac:dyDescent="0.25">
      <c r="A163" s="331"/>
      <c r="B163" s="41" t="s">
        <v>108</v>
      </c>
      <c r="C163" s="43">
        <v>1</v>
      </c>
      <c r="E163" s="4" t="s">
        <v>85</v>
      </c>
      <c r="F163" s="49">
        <v>-2.6530116637187349E-4</v>
      </c>
      <c r="G163" s="132">
        <f>'CS_5 Bridge'!G8</f>
        <v>0</v>
      </c>
      <c r="H163" s="132">
        <f>'CS_5 Bridge'!H8</f>
        <v>0</v>
      </c>
      <c r="I163" s="132">
        <f>'CS_5 Bridge'!I8</f>
        <v>0</v>
      </c>
      <c r="J163" s="132">
        <f>'CS_5 Bridge'!J8</f>
        <v>2.5266777749702239E-9</v>
      </c>
      <c r="K163" s="132">
        <f>'CS_5 Bridge'!K8</f>
        <v>0</v>
      </c>
      <c r="L163" s="132">
        <f>'CS_5 Bridge'!L8</f>
        <v>0</v>
      </c>
      <c r="M163" s="29">
        <f>C164</f>
        <v>-105000</v>
      </c>
      <c r="N163" s="46" t="s">
        <v>113</v>
      </c>
      <c r="O163" s="31">
        <f t="shared" si="38"/>
        <v>500.17491665209945</v>
      </c>
      <c r="P163" s="31">
        <f t="shared" si="39"/>
        <v>-99.824983347957641</v>
      </c>
      <c r="Q163" s="31">
        <f t="shared" si="40"/>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x14ac:dyDescent="0.25">
      <c r="A164" s="331"/>
      <c r="B164" s="41" t="s">
        <v>103</v>
      </c>
      <c r="C164" s="43">
        <f t="array" ref="C164:C167">MMULT(O132:R135,E140:E143)</f>
        <v>-105000</v>
      </c>
      <c r="E164" s="4" t="s">
        <v>86</v>
      </c>
      <c r="F164" s="49">
        <v>0</v>
      </c>
      <c r="G164" s="132">
        <f>'CS_5 Bridge'!G9</f>
        <v>0</v>
      </c>
      <c r="H164" s="132">
        <f>'CS_5 Bridge'!H9</f>
        <v>0</v>
      </c>
      <c r="I164" s="132">
        <f>'CS_5 Bridge'!I9</f>
        <v>0</v>
      </c>
      <c r="J164" s="132">
        <f>'CS_5 Bridge'!J9</f>
        <v>0</v>
      </c>
      <c r="K164" s="132">
        <f>'CS_5 Bridge'!K9</f>
        <v>1.5474032527184508E-10</v>
      </c>
      <c r="L164" s="132">
        <f>'CS_5 Bridge'!L9</f>
        <v>0</v>
      </c>
      <c r="M164" s="29">
        <f>C165</f>
        <v>0</v>
      </c>
      <c r="O164" s="3" t="s">
        <v>82</v>
      </c>
      <c r="T164" s="3" t="s">
        <v>83</v>
      </c>
      <c r="AE164" t="s">
        <v>95</v>
      </c>
      <c r="AJ164" t="s">
        <v>94</v>
      </c>
      <c r="AO164" t="s">
        <v>96</v>
      </c>
    </row>
    <row r="165" spans="1:59" ht="15" customHeight="1" x14ac:dyDescent="0.25">
      <c r="A165" s="331"/>
      <c r="B165" s="41" t="s">
        <v>104</v>
      </c>
      <c r="C165" s="43">
        <v>0</v>
      </c>
      <c r="E165" s="4" t="s">
        <v>87</v>
      </c>
      <c r="F165" s="49">
        <v>-7.5800333249106722E-5</v>
      </c>
      <c r="G165" s="132">
        <f>'CS_5 Bridge'!G10</f>
        <v>0</v>
      </c>
      <c r="H165" s="132">
        <f>'CS_5 Bridge'!H10</f>
        <v>0</v>
      </c>
      <c r="I165" s="132">
        <f>'CS_5 Bridge'!I10</f>
        <v>0</v>
      </c>
      <c r="J165" s="132">
        <f>'CS_5 Bridge'!J10</f>
        <v>0</v>
      </c>
      <c r="K165" s="132">
        <f>'CS_5 Bridge'!K10</f>
        <v>0</v>
      </c>
      <c r="L165" s="132">
        <f>'CS_5 Bridge'!L10</f>
        <v>2.5266777749702239E-9</v>
      </c>
      <c r="M165" s="29">
        <f>C166</f>
        <v>-30000</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100</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x14ac:dyDescent="0.25">
      <c r="A166" s="331"/>
      <c r="B166" s="41" t="s">
        <v>105</v>
      </c>
      <c r="C166" s="43">
        <v>-30000</v>
      </c>
      <c r="G166" s="111"/>
      <c r="H166" s="111"/>
      <c r="I166" s="111"/>
      <c r="J166" s="125"/>
      <c r="K166" s="125"/>
      <c r="L166" s="125"/>
      <c r="M166" s="125"/>
      <c r="O166" s="31">
        <v>0</v>
      </c>
      <c r="P166" s="31">
        <v>1</v>
      </c>
      <c r="Q166" s="31">
        <v>0</v>
      </c>
      <c r="R166" s="31">
        <v>0</v>
      </c>
      <c r="S166" s="11"/>
      <c r="T166" s="31">
        <v>0</v>
      </c>
      <c r="U166" s="31">
        <v>1</v>
      </c>
      <c r="V166" s="31">
        <v>0</v>
      </c>
      <c r="W166" s="31">
        <v>0</v>
      </c>
      <c r="X166" s="31"/>
      <c r="Y166" s="31"/>
      <c r="Z166" s="31"/>
      <c r="AA166" s="31"/>
      <c r="AB166" t="s">
        <v>69</v>
      </c>
      <c r="AC166" s="29">
        <v>500</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x14ac:dyDescent="0.25">
      <c r="A167" s="331"/>
      <c r="B167" s="41" t="s">
        <v>108</v>
      </c>
      <c r="C167" s="43">
        <v>1</v>
      </c>
      <c r="G167" s="111"/>
      <c r="H167" s="111"/>
      <c r="I167" s="111"/>
      <c r="J167" s="125"/>
      <c r="K167" s="125"/>
      <c r="L167" s="125"/>
      <c r="M167" s="125"/>
      <c r="O167" s="31">
        <v>0</v>
      </c>
      <c r="P167" s="31">
        <v>0</v>
      </c>
      <c r="Q167" s="31">
        <v>1</v>
      </c>
      <c r="R167" s="31">
        <v>0</v>
      </c>
      <c r="S167" s="11"/>
      <c r="T167" s="31">
        <v>0</v>
      </c>
      <c r="U167" s="31">
        <v>0</v>
      </c>
      <c r="V167" s="31">
        <v>1</v>
      </c>
      <c r="W167" s="31">
        <v>0</v>
      </c>
      <c r="X167" s="31"/>
      <c r="Y167" s="31"/>
      <c r="Z167" s="31"/>
      <c r="AA167" s="31"/>
      <c r="AB167" t="s">
        <v>70</v>
      </c>
      <c r="AC167" s="29">
        <v>-350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2" customFormat="1" x14ac:dyDescent="0.25">
      <c r="A168" s="331"/>
      <c r="B168" s="77" t="s">
        <v>183</v>
      </c>
      <c r="C168"/>
      <c r="D168" s="89" t="s">
        <v>246</v>
      </c>
      <c r="E168"/>
      <c r="G168" s="127"/>
      <c r="H168" s="127"/>
      <c r="I168" s="127"/>
      <c r="J168" s="134"/>
      <c r="K168" s="134"/>
      <c r="L168" s="134"/>
      <c r="M168" s="134"/>
      <c r="O168" s="123">
        <v>0</v>
      </c>
      <c r="P168" s="123">
        <v>0</v>
      </c>
      <c r="Q168" s="123">
        <v>0</v>
      </c>
      <c r="R168" s="123">
        <v>1</v>
      </c>
      <c r="S168" s="124"/>
      <c r="T168" s="123">
        <v>0</v>
      </c>
      <c r="U168" s="123">
        <v>0</v>
      </c>
      <c r="V168" s="123">
        <v>0</v>
      </c>
      <c r="W168" s="123">
        <v>1</v>
      </c>
      <c r="X168" s="123"/>
      <c r="Y168" s="123"/>
      <c r="Z168" s="123"/>
      <c r="AA168" s="123"/>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2" customFormat="1" x14ac:dyDescent="0.25">
      <c r="A169" s="331"/>
      <c r="B169" s="41" t="s">
        <v>100</v>
      </c>
      <c r="C169" s="42">
        <v>0</v>
      </c>
      <c r="D169" s="41" t="s">
        <v>100</v>
      </c>
      <c r="E169" s="43">
        <f>C160+C169</f>
        <v>0</v>
      </c>
      <c r="F169" s="130"/>
      <c r="G169" s="134"/>
      <c r="H169" s="137"/>
      <c r="I169" s="134"/>
      <c r="J169" s="134"/>
      <c r="K169" s="134"/>
      <c r="L169" s="134"/>
      <c r="M169" s="134"/>
      <c r="O169" s="123"/>
      <c r="P169" s="123"/>
      <c r="Q169" s="123"/>
      <c r="R169" s="123"/>
      <c r="S169" s="124"/>
      <c r="T169" s="123"/>
      <c r="U169" s="123"/>
      <c r="V169" s="123"/>
      <c r="W169" s="123"/>
      <c r="X169" s="123"/>
      <c r="Y169" s="123"/>
      <c r="Z169" s="123"/>
      <c r="AA169" s="123"/>
      <c r="AC169" s="32"/>
      <c r="AD169" s="32"/>
      <c r="AE169" s="32"/>
      <c r="AF169" s="32"/>
      <c r="AG169" s="32"/>
      <c r="AH169" s="32"/>
      <c r="AJ169" s="32"/>
      <c r="AK169" s="32"/>
      <c r="AL169" s="32"/>
      <c r="AM169" s="32"/>
      <c r="AO169" s="32"/>
      <c r="AP169" s="32"/>
      <c r="AQ169" s="32"/>
      <c r="AR169" s="32"/>
    </row>
    <row r="170" spans="1:59" s="122" customFormat="1" x14ac:dyDescent="0.25">
      <c r="A170" s="331"/>
      <c r="B170" s="41" t="s">
        <v>101</v>
      </c>
      <c r="C170" s="42">
        <v>0</v>
      </c>
      <c r="D170" s="41" t="s">
        <v>101</v>
      </c>
      <c r="E170" s="43">
        <f>C161+C170</f>
        <v>-300</v>
      </c>
      <c r="F170" s="130"/>
      <c r="G170" s="134"/>
      <c r="H170" s="137"/>
      <c r="I170" s="134"/>
      <c r="J170" s="134"/>
      <c r="K170" s="134"/>
      <c r="L170" s="134"/>
      <c r="M170" s="134"/>
      <c r="O170" s="123"/>
      <c r="P170" s="123"/>
      <c r="Q170" s="123"/>
      <c r="R170" s="123"/>
      <c r="S170" s="124"/>
      <c r="T170" s="123"/>
      <c r="U170" s="123"/>
      <c r="V170" s="123"/>
      <c r="W170" s="123"/>
      <c r="X170" s="123"/>
      <c r="Y170" s="123"/>
      <c r="Z170" s="123"/>
      <c r="AA170" s="123"/>
      <c r="AC170" s="32"/>
      <c r="AD170" s="32"/>
      <c r="AE170" s="32"/>
      <c r="AF170" s="32"/>
      <c r="AG170" s="32"/>
      <c r="AH170" s="32"/>
      <c r="AJ170" s="32"/>
      <c r="AK170" s="32"/>
      <c r="AL170" s="32"/>
      <c r="AM170" s="32"/>
      <c r="AO170" s="32"/>
      <c r="AP170" s="32"/>
      <c r="AQ170" s="32"/>
      <c r="AR170" s="32"/>
    </row>
    <row r="171" spans="1:59" s="122" customFormat="1" x14ac:dyDescent="0.25">
      <c r="A171" s="331"/>
      <c r="B171" s="41" t="s">
        <v>102</v>
      </c>
      <c r="C171" s="42">
        <v>0</v>
      </c>
      <c r="D171" s="41" t="s">
        <v>102</v>
      </c>
      <c r="E171" s="43">
        <f>C162+C171</f>
        <v>0</v>
      </c>
      <c r="F171" s="130"/>
      <c r="G171" s="134"/>
      <c r="H171" s="137"/>
      <c r="I171" s="134"/>
      <c r="J171" s="134"/>
      <c r="K171" s="134"/>
      <c r="L171" s="134"/>
      <c r="M171" s="134"/>
      <c r="O171" s="123"/>
      <c r="P171" s="123"/>
      <c r="Q171" s="123"/>
      <c r="R171" s="123"/>
      <c r="S171" s="124"/>
      <c r="T171" s="123"/>
      <c r="U171" s="123"/>
      <c r="V171" s="123"/>
      <c r="W171" s="123"/>
      <c r="X171" s="123"/>
      <c r="Y171" s="123"/>
      <c r="Z171" s="123"/>
      <c r="AA171" s="123"/>
      <c r="AC171" s="32"/>
      <c r="AD171" s="32"/>
      <c r="AE171" s="32"/>
      <c r="AF171" s="32"/>
      <c r="AG171" s="32"/>
      <c r="AH171" s="32"/>
      <c r="AJ171" s="32"/>
      <c r="AK171" s="32"/>
      <c r="AL171" s="32"/>
      <c r="AM171" s="32"/>
      <c r="AO171" s="32"/>
      <c r="AP171" s="32"/>
      <c r="AQ171" s="32"/>
      <c r="AR171" s="32"/>
    </row>
    <row r="172" spans="1:59" s="122" customFormat="1" x14ac:dyDescent="0.25">
      <c r="A172" s="331"/>
      <c r="B172" s="130" t="s">
        <v>108</v>
      </c>
      <c r="C172" s="131">
        <v>1</v>
      </c>
      <c r="D172" s="130" t="s">
        <v>108</v>
      </c>
      <c r="E172" s="131">
        <v>1</v>
      </c>
      <c r="F172" s="130"/>
      <c r="G172" s="134"/>
      <c r="H172" s="137"/>
      <c r="I172" s="134"/>
      <c r="J172" s="134"/>
      <c r="K172" s="134"/>
      <c r="L172" s="134"/>
      <c r="M172" s="134"/>
      <c r="O172" s="123"/>
      <c r="P172" s="123"/>
      <c r="Q172" s="123"/>
      <c r="R172" s="123"/>
      <c r="S172" s="124"/>
      <c r="T172" s="123"/>
      <c r="U172" s="123"/>
      <c r="V172" s="123"/>
      <c r="W172" s="123"/>
      <c r="X172" s="123"/>
      <c r="Y172" s="123"/>
      <c r="Z172" s="123"/>
      <c r="AA172" s="123"/>
      <c r="AC172" s="32"/>
      <c r="AD172" s="32"/>
      <c r="AE172" s="32"/>
      <c r="AF172" s="32"/>
      <c r="AG172" s="32"/>
      <c r="AH172" s="32"/>
      <c r="AJ172" s="32"/>
      <c r="AK172" s="32"/>
      <c r="AL172" s="32"/>
      <c r="AM172" s="32"/>
      <c r="AO172" s="32"/>
      <c r="AP172" s="32"/>
      <c r="AQ172" s="32"/>
      <c r="AR172" s="32"/>
    </row>
    <row r="173" spans="1:59" s="122" customFormat="1" x14ac:dyDescent="0.25">
      <c r="A173" s="331"/>
      <c r="B173" s="41" t="s">
        <v>103</v>
      </c>
      <c r="C173" s="42">
        <v>0</v>
      </c>
      <c r="D173" s="41" t="s">
        <v>103</v>
      </c>
      <c r="E173" s="43">
        <f>C164+C173+C162*C120-C161*C121</f>
        <v>-105000</v>
      </c>
      <c r="F173" s="130"/>
      <c r="G173" s="134"/>
      <c r="H173" s="137"/>
      <c r="I173" s="134"/>
      <c r="J173" s="134"/>
      <c r="K173" s="134"/>
      <c r="L173" s="134"/>
      <c r="M173" s="134"/>
      <c r="O173" s="123"/>
      <c r="P173" s="123"/>
      <c r="Q173" s="123"/>
      <c r="R173" s="123"/>
      <c r="S173" s="124"/>
      <c r="T173" s="123"/>
      <c r="U173" s="123"/>
      <c r="V173" s="123"/>
      <c r="W173" s="123"/>
      <c r="X173" s="123"/>
      <c r="Y173" s="123"/>
      <c r="Z173" s="123"/>
      <c r="AA173" s="123"/>
      <c r="AC173" s="32"/>
      <c r="AD173" s="32"/>
      <c r="AE173" s="32"/>
      <c r="AF173" s="32"/>
      <c r="AG173" s="32"/>
      <c r="AH173" s="32"/>
      <c r="AJ173" s="32"/>
      <c r="AK173" s="32"/>
      <c r="AL173" s="32"/>
      <c r="AM173" s="32"/>
      <c r="AO173" s="32"/>
      <c r="AP173" s="32"/>
      <c r="AQ173" s="32"/>
      <c r="AR173" s="32"/>
    </row>
    <row r="174" spans="1:59" s="122" customFormat="1" x14ac:dyDescent="0.25">
      <c r="A174" s="331"/>
      <c r="B174" s="41" t="s">
        <v>104</v>
      </c>
      <c r="C174" s="42">
        <v>0</v>
      </c>
      <c r="D174" s="41" t="s">
        <v>104</v>
      </c>
      <c r="E174" s="43">
        <f>C165+C174+C160*C121-C162*C119</f>
        <v>0</v>
      </c>
      <c r="F174" s="130"/>
      <c r="G174" s="134"/>
      <c r="H174" s="137"/>
      <c r="I174" s="134"/>
      <c r="J174" s="134"/>
      <c r="K174" s="134"/>
      <c r="L174" s="134"/>
      <c r="M174" s="134"/>
      <c r="O174" s="123"/>
      <c r="P174" s="123"/>
      <c r="Q174" s="123"/>
      <c r="R174" s="123"/>
      <c r="S174" s="124"/>
      <c r="T174" s="123"/>
      <c r="U174" s="123"/>
      <c r="V174" s="123"/>
      <c r="W174" s="123"/>
      <c r="X174" s="123"/>
      <c r="Y174" s="123"/>
      <c r="Z174" s="123"/>
      <c r="AA174" s="123"/>
      <c r="AC174" s="32"/>
      <c r="AD174" s="32"/>
      <c r="AE174" s="32"/>
      <c r="AF174" s="32"/>
      <c r="AG174" s="32"/>
      <c r="AH174" s="32"/>
      <c r="AJ174" s="32"/>
      <c r="AK174" s="32"/>
      <c r="AL174" s="32"/>
      <c r="AM174" s="32"/>
      <c r="AO174" s="32"/>
      <c r="AP174" s="32"/>
      <c r="AQ174" s="32"/>
      <c r="AR174" s="32"/>
    </row>
    <row r="175" spans="1:59" s="122" customFormat="1" x14ac:dyDescent="0.25">
      <c r="A175" s="331"/>
      <c r="B175" s="41" t="s">
        <v>105</v>
      </c>
      <c r="C175" s="42">
        <v>0</v>
      </c>
      <c r="D175" s="41" t="s">
        <v>105</v>
      </c>
      <c r="E175" s="43">
        <f>C166+C175+C161*C119-C160*C120</f>
        <v>-30000</v>
      </c>
      <c r="F175" s="130"/>
      <c r="G175" s="134"/>
      <c r="H175" s="137"/>
      <c r="I175" s="134"/>
      <c r="J175" s="134"/>
      <c r="K175" s="134"/>
      <c r="L175" s="134"/>
      <c r="M175" s="134"/>
      <c r="O175" s="123"/>
      <c r="P175" s="123"/>
      <c r="Q175" s="123"/>
      <c r="R175" s="123"/>
      <c r="S175" s="124"/>
      <c r="T175" s="123"/>
      <c r="U175" s="123"/>
      <c r="V175" s="123"/>
      <c r="W175" s="123"/>
      <c r="X175" s="123"/>
      <c r="Y175" s="123"/>
      <c r="Z175" s="123"/>
      <c r="AA175" s="123"/>
      <c r="AC175" s="32"/>
      <c r="AD175" s="32"/>
      <c r="AE175" s="32"/>
      <c r="AF175" s="32"/>
      <c r="AG175" s="32"/>
      <c r="AH175" s="32"/>
      <c r="AJ175" s="32"/>
      <c r="AK175" s="32"/>
      <c r="AL175" s="32"/>
      <c r="AM175" s="32"/>
      <c r="AO175" s="32"/>
      <c r="AP175" s="32"/>
      <c r="AQ175" s="32"/>
      <c r="AR175" s="32"/>
    </row>
    <row r="176" spans="1:59" s="52" customFormat="1" ht="16.5" thickBot="1" x14ac:dyDescent="0.3">
      <c r="A176" s="332"/>
      <c r="B176" s="57" t="s">
        <v>108</v>
      </c>
      <c r="C176" s="58">
        <v>1</v>
      </c>
      <c r="D176" s="57" t="s">
        <v>108</v>
      </c>
      <c r="E176" s="58">
        <v>1</v>
      </c>
      <c r="F176" s="57"/>
      <c r="G176" s="135"/>
      <c r="H176" s="138"/>
      <c r="I176" s="135"/>
      <c r="J176" s="135"/>
      <c r="K176" s="135"/>
      <c r="L176" s="135"/>
      <c r="M176" s="135"/>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x14ac:dyDescent="0.25">
      <c r="A177" s="334" t="s">
        <v>328</v>
      </c>
      <c r="B177" s="68" t="s">
        <v>250</v>
      </c>
      <c r="E177" s="1" t="s">
        <v>145</v>
      </c>
    </row>
    <row r="178" spans="1:62" ht="15" customHeight="1" x14ac:dyDescent="0.25">
      <c r="A178" s="334"/>
      <c r="B178" s="12" t="s">
        <v>73</v>
      </c>
      <c r="C178" s="56">
        <f>C156</f>
        <v>100</v>
      </c>
      <c r="E178" s="319" t="s">
        <v>138</v>
      </c>
      <c r="F178" s="319"/>
      <c r="G178" s="319" t="s">
        <v>139</v>
      </c>
      <c r="H178" s="319"/>
      <c r="N178" s="34" t="s">
        <v>98</v>
      </c>
      <c r="O178" s="1"/>
      <c r="P178" s="67"/>
      <c r="Q178" s="1"/>
      <c r="R178" s="1"/>
      <c r="S178" s="34" t="s">
        <v>136</v>
      </c>
      <c r="Y178" s="94" t="s">
        <v>297</v>
      </c>
    </row>
    <row r="179" spans="1:62" ht="15" customHeight="1" x14ac:dyDescent="0.25">
      <c r="A179" s="334"/>
      <c r="B179" s="12" t="s">
        <v>74</v>
      </c>
      <c r="C179" s="56">
        <f>C157</f>
        <v>500</v>
      </c>
      <c r="E179" s="46" t="s">
        <v>84</v>
      </c>
      <c r="F179" s="48">
        <f>'CS_6 X-axis'!B45</f>
        <v>5.0000000000000001E-3</v>
      </c>
      <c r="G179" s="46" t="s">
        <v>84</v>
      </c>
      <c r="H179" s="48">
        <f>'CS_6 X-axis'!B52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x14ac:dyDescent="0.25">
      <c r="A180" s="334"/>
      <c r="B180" s="12" t="s">
        <v>75</v>
      </c>
      <c r="C180" s="56">
        <f>C158</f>
        <v>200.79999999999995</v>
      </c>
      <c r="E180" s="46" t="s">
        <v>112</v>
      </c>
      <c r="F180" s="48">
        <f>'CS_6 X-axis'!B46</f>
        <v>5.0000000000000001E-3</v>
      </c>
      <c r="G180" s="46" t="s">
        <v>112</v>
      </c>
      <c r="H180" s="48">
        <f>'CS_6 X-axis'!B53</f>
        <v>0</v>
      </c>
      <c r="N180" s="46" t="s">
        <v>84</v>
      </c>
      <c r="O180" s="50">
        <f>ABS(F179)</f>
        <v>5.0000000000000001E-3</v>
      </c>
      <c r="P180" s="50">
        <f>ABS(F182*O194)</f>
        <v>0</v>
      </c>
      <c r="Q180" s="50">
        <f>ABS(F183*P194)</f>
        <v>2.0074996453000125E-2</v>
      </c>
      <c r="R180" s="50">
        <f>ABS(F184*Q194)</f>
        <v>5.0004991666250512E-2</v>
      </c>
      <c r="S180" s="46" t="s">
        <v>84</v>
      </c>
      <c r="T180" s="49">
        <f t="array" ref="T180:W183">ABS(MMULT(T198:W201,O180:R183))</f>
        <v>5.0000000000000001E-3</v>
      </c>
      <c r="U180" s="49">
        <v>0</v>
      </c>
      <c r="V180" s="49">
        <v>2.0074996453000125E-2</v>
      </c>
      <c r="W180" s="49">
        <v>5.0004991666250512E-2</v>
      </c>
      <c r="X180" s="70" t="s">
        <v>84</v>
      </c>
      <c r="Y180" s="49">
        <f>F186+F193</f>
        <v>0</v>
      </c>
      <c r="Z180" s="29">
        <f>F189*O194</f>
        <v>0</v>
      </c>
      <c r="AA180" s="29">
        <f>F190*P194</f>
        <v>0</v>
      </c>
      <c r="AB180" s="29">
        <f>F191*Q194</f>
        <v>2.2713051761473891E-3</v>
      </c>
    </row>
    <row r="181" spans="1:62" ht="15" customHeight="1" x14ac:dyDescent="0.25">
      <c r="A181" s="60">
        <v>6</v>
      </c>
      <c r="B181" s="1" t="s">
        <v>76</v>
      </c>
      <c r="E181" s="46" t="s">
        <v>113</v>
      </c>
      <c r="F181" s="48">
        <f>'CS_6 X-axis'!B47</f>
        <v>5.0000000000000001E-3</v>
      </c>
      <c r="G181" s="46" t="s">
        <v>113</v>
      </c>
      <c r="H181" s="48">
        <f>'CS_6 X-axis'!B54</f>
        <v>0</v>
      </c>
      <c r="N181" s="46" t="s">
        <v>112</v>
      </c>
      <c r="O181" s="50">
        <f t="shared" ref="O181:O182" si="41">ABS(F180)</f>
        <v>5.0000000000000001E-3</v>
      </c>
      <c r="P181" s="50">
        <f>ABS(F182*O195)</f>
        <v>2.0104996651252819E-2</v>
      </c>
      <c r="Q181" s="50">
        <f>ABS(F183*P195)</f>
        <v>0</v>
      </c>
      <c r="R181" s="50">
        <f>ABS(F184*Q195)</f>
        <v>9.9749983354172466E-3</v>
      </c>
      <c r="S181" s="46" t="s">
        <v>112</v>
      </c>
      <c r="T181" s="49">
        <v>5.0000000000000001E-3</v>
      </c>
      <c r="U181" s="49">
        <v>2.0104996651252819E-2</v>
      </c>
      <c r="V181" s="49">
        <v>0</v>
      </c>
      <c r="W181" s="49">
        <v>9.9749983354172466E-3</v>
      </c>
      <c r="X181" s="70" t="s">
        <v>112</v>
      </c>
      <c r="Y181" s="49">
        <f t="shared" ref="Y181:Y182" si="42">F187+F194</f>
        <v>5.2983898887361547E-3</v>
      </c>
      <c r="Z181" s="29">
        <f>F189*O195</f>
        <v>-1.7617965244425405E-3</v>
      </c>
      <c r="AA181" s="29">
        <f>F190*P195</f>
        <v>0</v>
      </c>
      <c r="AB181" s="29">
        <f>F191*Q195</f>
        <v>-4.530800745355589E-4</v>
      </c>
    </row>
    <row r="182" spans="1:62" ht="15" customHeight="1" x14ac:dyDescent="0.25">
      <c r="A182" s="43">
        <f>IF(A181&gt;Naxes,0,1)</f>
        <v>0</v>
      </c>
      <c r="B182" s="2" t="s">
        <v>177</v>
      </c>
      <c r="C182" s="37">
        <v>0</v>
      </c>
      <c r="E182" s="4" t="s">
        <v>85</v>
      </c>
      <c r="F182" s="48">
        <f>'CS_6 X-axis'!B48</f>
        <v>1.0000000000000007E-4</v>
      </c>
      <c r="G182" s="4" t="s">
        <v>85</v>
      </c>
      <c r="H182" s="48">
        <f>'CS_6 X-axis'!B55</f>
        <v>0</v>
      </c>
      <c r="N182" s="46" t="s">
        <v>113</v>
      </c>
      <c r="O182" s="50">
        <f t="shared" si="41"/>
        <v>5.0000000000000001E-3</v>
      </c>
      <c r="P182" s="50">
        <f>ABS(F182*O196)</f>
        <v>4.9989951667504362E-2</v>
      </c>
      <c r="Q182" s="50">
        <f>ABS(F183*P196)</f>
        <v>1.0010038232395321E-2</v>
      </c>
      <c r="R182" s="50">
        <f>ABS(F184*Q196)</f>
        <v>0</v>
      </c>
      <c r="S182" s="46" t="s">
        <v>113</v>
      </c>
      <c r="T182" s="49">
        <v>5.0000000000000001E-3</v>
      </c>
      <c r="U182" s="49">
        <v>4.9989951667504362E-2</v>
      </c>
      <c r="V182" s="49">
        <v>1.0010038232395321E-2</v>
      </c>
      <c r="W182" s="49">
        <v>0</v>
      </c>
      <c r="X182" s="70" t="s">
        <v>113</v>
      </c>
      <c r="Y182" s="49">
        <f t="shared" si="42"/>
        <v>0</v>
      </c>
      <c r="Z182" s="29">
        <f>F189*O196</f>
        <v>4.3806086930818595E-3</v>
      </c>
      <c r="AA182" s="29">
        <f>F190*P196</f>
        <v>0</v>
      </c>
      <c r="AB182" s="29">
        <f>F191*Q196</f>
        <v>0</v>
      </c>
    </row>
    <row r="183" spans="1:62" ht="15" customHeight="1" x14ac:dyDescent="0.25">
      <c r="A183" s="336" t="s">
        <v>127</v>
      </c>
      <c r="B183" s="2" t="s">
        <v>179</v>
      </c>
      <c r="C183" s="37">
        <v>0</v>
      </c>
      <c r="E183" s="4" t="s">
        <v>86</v>
      </c>
      <c r="F183" s="48">
        <f>'CS_6 X-axis'!B49</f>
        <v>9.9999999000000077E-5</v>
      </c>
      <c r="G183" s="4" t="s">
        <v>86</v>
      </c>
      <c r="H183" s="48">
        <f>'CS_6 X-axis'!B56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x14ac:dyDescent="0.25">
      <c r="A184" s="336"/>
      <c r="B184" s="2" t="s">
        <v>178</v>
      </c>
      <c r="C184" s="37">
        <v>0</v>
      </c>
      <c r="E184" s="4" t="s">
        <v>87</v>
      </c>
      <c r="F184" s="48">
        <f>'CS_6 X-axis'!B50</f>
        <v>1.0000000000000007E-4</v>
      </c>
      <c r="G184" s="4" t="s">
        <v>87</v>
      </c>
      <c r="H184" s="48">
        <f>'CS_6 X-axis'!B57</f>
        <v>0</v>
      </c>
      <c r="X184" s="6"/>
    </row>
    <row r="185" spans="1:62" ht="30" customHeight="1" x14ac:dyDescent="0.25">
      <c r="A185" s="336"/>
      <c r="B185" s="2" t="s">
        <v>245</v>
      </c>
      <c r="C185" s="37">
        <f>-(C13+C20+C53+C86+C119+C152)</f>
        <v>-100</v>
      </c>
      <c r="E185" s="317" t="s">
        <v>303</v>
      </c>
      <c r="F185" s="317"/>
      <c r="G185" s="319" t="s">
        <v>251</v>
      </c>
      <c r="H185" s="319"/>
      <c r="I185" s="317" t="s">
        <v>306</v>
      </c>
      <c r="J185" s="317"/>
      <c r="K185" s="317" t="s">
        <v>304</v>
      </c>
      <c r="L185" s="317"/>
      <c r="N185" s="34" t="s">
        <v>99</v>
      </c>
      <c r="O185" s="1"/>
      <c r="P185" s="67"/>
      <c r="Q185" s="1"/>
      <c r="R185" s="1"/>
      <c r="S185" s="34" t="s">
        <v>137</v>
      </c>
      <c r="X185" s="6"/>
      <c r="Y185" s="94" t="s">
        <v>296</v>
      </c>
    </row>
    <row r="186" spans="1:62" ht="15" customHeight="1" x14ac:dyDescent="0.25">
      <c r="A186" s="336"/>
      <c r="B186" s="2" t="s">
        <v>77</v>
      </c>
      <c r="C186" s="37">
        <f t="shared" ref="C186:C187" si="43">-(C14+C21+C54+C87+C120+C153)</f>
        <v>-500</v>
      </c>
      <c r="E186" s="46" t="s">
        <v>84</v>
      </c>
      <c r="F186" s="49">
        <f>E202/IF(H186=0,1000000000000,H186)</f>
        <v>0</v>
      </c>
      <c r="G186" s="4" t="s">
        <v>117</v>
      </c>
      <c r="H186" s="29">
        <f>'CS_6 X-axis'!B25</f>
        <v>72722.052166430396</v>
      </c>
      <c r="I186" s="4" t="s">
        <v>85</v>
      </c>
      <c r="J186" s="49">
        <f>A215*F229</f>
        <v>0</v>
      </c>
      <c r="K186" s="4" t="s">
        <v>85</v>
      </c>
      <c r="L186" s="139">
        <f t="array" ref="L186:L189">MMULT(MINVERSE(O198:R201),J186:J189)</f>
        <v>0</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x14ac:dyDescent="0.25">
      <c r="A187" s="330" t="s">
        <v>363</v>
      </c>
      <c r="B187" s="2" t="s">
        <v>107</v>
      </c>
      <c r="C187" s="37">
        <f t="shared" si="43"/>
        <v>-200.79999999999995</v>
      </c>
      <c r="E187" s="46" t="s">
        <v>112</v>
      </c>
      <c r="F187" s="49">
        <f t="shared" ref="F187:F188" si="44">E203/IF(H187=0,1000000000000,H187)</f>
        <v>-1.1591962905718702E-4</v>
      </c>
      <c r="G187" s="4" t="s">
        <v>118</v>
      </c>
      <c r="H187" s="29">
        <f>'CS_6 X-axis'!B26</f>
        <v>2588000</v>
      </c>
      <c r="I187" s="4" t="s">
        <v>86</v>
      </c>
      <c r="J187" s="49">
        <f>A215*F230</f>
        <v>0</v>
      </c>
      <c r="K187" s="4" t="s">
        <v>86</v>
      </c>
      <c r="L187" s="139">
        <v>0</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0</v>
      </c>
      <c r="Z187" s="29">
        <f t="array" ref="Z187:Z190">MMULT(T198:W201,Z180:Z183)</f>
        <v>0</v>
      </c>
      <c r="AA187" s="29">
        <f t="array" ref="AA187:AA190">MMULT(T198:W201,AA180:AA183)</f>
        <v>0</v>
      </c>
      <c r="AB187" s="29">
        <f t="array" ref="AB187:AB190">MMULT(T198:W201,AB180:AB183)</f>
        <v>2.2713051761473891E-3</v>
      </c>
    </row>
    <row r="188" spans="1:62" ht="15" customHeight="1" x14ac:dyDescent="0.25">
      <c r="A188" s="331"/>
      <c r="B188" s="34" t="s">
        <v>78</v>
      </c>
      <c r="E188" s="46" t="s">
        <v>113</v>
      </c>
      <c r="F188" s="49">
        <f t="shared" si="44"/>
        <v>0</v>
      </c>
      <c r="G188" s="4" t="s">
        <v>119</v>
      </c>
      <c r="H188" s="29">
        <f>'CS_6 X-axis'!B27</f>
        <v>2588000</v>
      </c>
      <c r="I188" s="4" t="s">
        <v>87</v>
      </c>
      <c r="J188" s="49">
        <f>A215*F231</f>
        <v>0</v>
      </c>
      <c r="K188" s="4" t="s">
        <v>87</v>
      </c>
      <c r="L188" s="139">
        <v>0</v>
      </c>
      <c r="N188" s="46" t="s">
        <v>112</v>
      </c>
      <c r="O188" s="50">
        <f>H180</f>
        <v>0</v>
      </c>
      <c r="P188" s="50">
        <f>H182*O195</f>
        <v>0</v>
      </c>
      <c r="Q188" s="50">
        <f>H183*P195</f>
        <v>0</v>
      </c>
      <c r="R188" s="50">
        <f>H184*Q195</f>
        <v>0</v>
      </c>
      <c r="S188" s="46" t="s">
        <v>112</v>
      </c>
      <c r="T188" s="50">
        <v>0</v>
      </c>
      <c r="U188" s="50">
        <v>0</v>
      </c>
      <c r="V188" s="50">
        <v>0</v>
      </c>
      <c r="W188" s="50">
        <v>0</v>
      </c>
      <c r="X188" s="70" t="s">
        <v>112</v>
      </c>
      <c r="Y188" s="29">
        <v>5.2983898887361547E-3</v>
      </c>
      <c r="Z188" s="29">
        <v>-1.7617965244425405E-3</v>
      </c>
      <c r="AA188" s="29">
        <v>0</v>
      </c>
      <c r="AB188" s="29">
        <v>-4.530800745355589E-4</v>
      </c>
    </row>
    <row r="189" spans="1:62" ht="15" customHeight="1" x14ac:dyDescent="0.25">
      <c r="A189" s="331"/>
      <c r="B189" s="12" t="s">
        <v>79</v>
      </c>
      <c r="C189" s="31">
        <f>AC198+C185</f>
        <v>0</v>
      </c>
      <c r="E189" s="4" t="s">
        <v>85</v>
      </c>
      <c r="F189" s="49">
        <f>E206/IF(H189=0,1000000000000,H189)+L186</f>
        <v>8.7629784525865991E-6</v>
      </c>
      <c r="G189" s="46" t="s">
        <v>8</v>
      </c>
      <c r="H189" s="29">
        <f>'CS_6 X-axis'!B29</f>
        <v>6874375000</v>
      </c>
      <c r="I189" s="4" t="s">
        <v>305</v>
      </c>
      <c r="J189" s="29">
        <v>1</v>
      </c>
      <c r="K189" s="4" t="s">
        <v>305</v>
      </c>
      <c r="L189" s="139">
        <v>1</v>
      </c>
      <c r="N189" s="46" t="s">
        <v>113</v>
      </c>
      <c r="O189" s="50">
        <f>H181</f>
        <v>0</v>
      </c>
      <c r="P189" s="50">
        <f>H182*O196</f>
        <v>0</v>
      </c>
      <c r="Q189" s="50">
        <f>H183*P196</f>
        <v>0</v>
      </c>
      <c r="R189" s="50">
        <f>H184*Q196</f>
        <v>0</v>
      </c>
      <c r="S189" s="46" t="s">
        <v>113</v>
      </c>
      <c r="T189" s="50">
        <v>0</v>
      </c>
      <c r="U189" s="50">
        <v>0</v>
      </c>
      <c r="V189" s="50">
        <v>0</v>
      </c>
      <c r="W189" s="50">
        <v>0</v>
      </c>
      <c r="X189" s="70" t="s">
        <v>113</v>
      </c>
      <c r="Y189" s="29">
        <v>0</v>
      </c>
      <c r="Z189" s="29">
        <v>4.3806086930818595E-3</v>
      </c>
      <c r="AA189" s="29">
        <v>0</v>
      </c>
      <c r="AB189" s="29">
        <v>0</v>
      </c>
    </row>
    <row r="190" spans="1:62" ht="15" customHeight="1" x14ac:dyDescent="0.25">
      <c r="A190" s="331"/>
      <c r="B190" s="12" t="s">
        <v>80</v>
      </c>
      <c r="C190" s="31">
        <f>AC199+C186</f>
        <v>0</v>
      </c>
      <c r="E190" s="4" t="s">
        <v>86</v>
      </c>
      <c r="F190" s="49">
        <f t="shared" ref="F190:F191" si="45">E207/IF(H190=0,1000000000000,H190)+L187</f>
        <v>0</v>
      </c>
      <c r="G190" s="46" t="s">
        <v>120</v>
      </c>
      <c r="H190" s="29">
        <f>'CS_6 X-axis'!B30</f>
        <v>6604791666.666667</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x14ac:dyDescent="0.25">
      <c r="A191" s="331"/>
      <c r="B191" s="12" t="s">
        <v>81</v>
      </c>
      <c r="C191" s="31">
        <f>AC200+C187</f>
        <v>0</v>
      </c>
      <c r="E191" s="4" t="s">
        <v>87</v>
      </c>
      <c r="F191" s="49">
        <f t="shared" si="45"/>
        <v>-4.5421568936693683E-6</v>
      </c>
      <c r="G191" s="46" t="s">
        <v>116</v>
      </c>
      <c r="H191" s="29">
        <f>'CS_6 X-axis'!B31</f>
        <v>6604791666.666667</v>
      </c>
      <c r="AB191" s="5"/>
      <c r="AU191" s="5" t="s">
        <v>67</v>
      </c>
      <c r="AZ191" s="5" t="s">
        <v>92</v>
      </c>
      <c r="BE191" s="5" t="s">
        <v>97</v>
      </c>
      <c r="BJ191" s="5" t="s">
        <v>97</v>
      </c>
    </row>
    <row r="192" spans="1:62" ht="31.5" x14ac:dyDescent="0.25">
      <c r="A192" s="331"/>
      <c r="B192" s="69" t="s">
        <v>106</v>
      </c>
      <c r="E192" s="319" t="s">
        <v>294</v>
      </c>
      <c r="F192" s="333"/>
      <c r="G192" s="327" t="s">
        <v>293</v>
      </c>
      <c r="H192" s="328"/>
      <c r="I192" s="328"/>
      <c r="J192" s="328"/>
      <c r="K192" s="328"/>
      <c r="L192" s="329"/>
      <c r="M192" s="93" t="s">
        <v>295</v>
      </c>
      <c r="N192" s="84" t="s">
        <v>248</v>
      </c>
      <c r="AE192" s="45" t="s">
        <v>227</v>
      </c>
      <c r="AF192" s="91">
        <v>1E-3</v>
      </c>
      <c r="AG192" s="45"/>
      <c r="AH192" s="45"/>
      <c r="AI192" s="45"/>
      <c r="AJ192" s="45" t="s">
        <v>93</v>
      </c>
      <c r="AK192" s="92">
        <v>1E-3</v>
      </c>
      <c r="AL192" s="7"/>
      <c r="AM192" s="7"/>
      <c r="AN192" s="45"/>
      <c r="AO192" s="45" t="s">
        <v>226</v>
      </c>
      <c r="AP192" s="91">
        <v>1E-3</v>
      </c>
      <c r="AU192" s="7" t="s">
        <v>0</v>
      </c>
      <c r="AV192" s="7" t="s">
        <v>1</v>
      </c>
      <c r="AW192" s="7" t="s">
        <v>2</v>
      </c>
      <c r="AZ192" s="7" t="s">
        <v>0</v>
      </c>
      <c r="BA192" s="7" t="s">
        <v>1</v>
      </c>
      <c r="BB192" s="7" t="s">
        <v>2</v>
      </c>
      <c r="BE192" s="7" t="s">
        <v>0</v>
      </c>
      <c r="BF192" s="7" t="s">
        <v>1</v>
      </c>
      <c r="BG192" s="7" t="s">
        <v>2</v>
      </c>
    </row>
    <row r="193" spans="1:59" ht="15" customHeight="1" x14ac:dyDescent="0.25">
      <c r="A193" s="331"/>
      <c r="B193" s="41" t="s">
        <v>100</v>
      </c>
      <c r="C193" s="43">
        <f t="array" ref="C193:C196">MMULT(O165:R168,E169:E172)</f>
        <v>0</v>
      </c>
      <c r="E193" s="46" t="s">
        <v>84</v>
      </c>
      <c r="F193" s="49">
        <f t="array" ref="F193:F198">MMULT(G193:L198,M193:M198)</f>
        <v>0</v>
      </c>
      <c r="G193" s="132">
        <f>'CS_6 X-axis'!G5</f>
        <v>1.4438158714115564E-3</v>
      </c>
      <c r="H193" s="132">
        <f>'CS_6 X-axis'!H5</f>
        <v>0</v>
      </c>
      <c r="I193" s="132">
        <f>'CS_6 X-axis'!I5</f>
        <v>0</v>
      </c>
      <c r="J193" s="132">
        <f>'CS_6 X-axis'!J5</f>
        <v>0</v>
      </c>
      <c r="K193" s="132">
        <f>'CS_6 X-axis'!K5</f>
        <v>-4.3314476142346695E-6</v>
      </c>
      <c r="L193" s="132">
        <f>'CS_6 X-axis'!L5</f>
        <v>0</v>
      </c>
      <c r="M193" s="29">
        <f>C193</f>
        <v>0</v>
      </c>
      <c r="O193" s="7" t="s">
        <v>4</v>
      </c>
      <c r="P193" s="26" t="s">
        <v>5</v>
      </c>
      <c r="Q193" s="26" t="s">
        <v>6</v>
      </c>
      <c r="R193" s="26"/>
      <c r="S193" s="26"/>
      <c r="T193" s="26"/>
      <c r="U193" s="26"/>
      <c r="V193" s="26"/>
      <c r="W193" s="26"/>
      <c r="X193" s="26"/>
      <c r="Y193" s="26"/>
      <c r="Z193" s="26"/>
      <c r="AA193" s="26"/>
      <c r="AB193" t="s">
        <v>66</v>
      </c>
      <c r="AC193" s="29">
        <f>C178</f>
        <v>100</v>
      </c>
      <c r="AD193" s="29"/>
      <c r="AE193" s="78">
        <v>1</v>
      </c>
      <c r="AF193" s="49">
        <v>0</v>
      </c>
      <c r="AG193" s="49">
        <v>0</v>
      </c>
      <c r="AH193" s="79">
        <v>0</v>
      </c>
      <c r="AI193" s="80"/>
      <c r="AJ193" s="49">
        <f>COS(AK192)</f>
        <v>0.99999950000004167</v>
      </c>
      <c r="AK193" s="49">
        <v>0</v>
      </c>
      <c r="AL193" s="49">
        <f>-AJ195</f>
        <v>9.9999983333334168E-4</v>
      </c>
      <c r="AM193" s="49">
        <v>0</v>
      </c>
      <c r="AN193" s="80"/>
      <c r="AO193" s="49">
        <f>COS(AP192)</f>
        <v>0.99999950000004167</v>
      </c>
      <c r="AP193" s="49">
        <f>-AO194</f>
        <v>-9.9999983333334168E-4</v>
      </c>
      <c r="AQ193" s="49">
        <v>0</v>
      </c>
      <c r="AR193" s="49">
        <v>0</v>
      </c>
      <c r="AS193" s="80"/>
      <c r="AT193" s="29" t="s">
        <v>63</v>
      </c>
      <c r="AU193" s="49">
        <f t="array" ref="AU193:AU196">MMULT(AE193:AH196,$AC193:$AC196)</f>
        <v>100</v>
      </c>
      <c r="AV193" s="49">
        <f>AU193-$AC193</f>
        <v>0</v>
      </c>
      <c r="AW193" s="49">
        <f>AV193/AF192</f>
        <v>0</v>
      </c>
      <c r="AX193" s="80"/>
      <c r="AY193" s="29" t="s">
        <v>63</v>
      </c>
      <c r="AZ193" s="49">
        <f t="array" ref="AZ193:AZ196">MMULT(AJ193:AM196,$AC193:$AC196)</f>
        <v>100.2007499665375</v>
      </c>
      <c r="BA193" s="49">
        <f>AZ193-$AC193</f>
        <v>0.20074996653750077</v>
      </c>
      <c r="BB193" s="49">
        <f>BA193/AK192</f>
        <v>200.74996653750077</v>
      </c>
      <c r="BC193" s="80"/>
      <c r="BD193" s="29" t="s">
        <v>63</v>
      </c>
      <c r="BE193" s="49">
        <f t="array" ref="BE193:BE196">MMULT(AO193:AR196,$AC193:$AC196)</f>
        <v>99.499950083337495</v>
      </c>
      <c r="BF193" s="49">
        <f>BE193-$AC193</f>
        <v>-0.50004991666250476</v>
      </c>
      <c r="BG193" s="49">
        <f>BF193/AP192</f>
        <v>-500.04991666250476</v>
      </c>
    </row>
    <row r="194" spans="1:59" x14ac:dyDescent="0.25">
      <c r="A194" s="331"/>
      <c r="B194" s="41" t="s">
        <v>101</v>
      </c>
      <c r="C194" s="43">
        <v>-300</v>
      </c>
      <c r="E194" s="46" t="s">
        <v>112</v>
      </c>
      <c r="F194" s="49">
        <v>5.414309517793342E-3</v>
      </c>
      <c r="G194" s="132">
        <f>'CS_6 X-axis'!G6</f>
        <v>0</v>
      </c>
      <c r="H194" s="132">
        <f>'CS_6 X-axis'!H6</f>
        <v>3.609539678528891E-4</v>
      </c>
      <c r="I194" s="132">
        <f>'CS_6 X-axis'!I6</f>
        <v>0</v>
      </c>
      <c r="J194" s="132">
        <f>'CS_6 X-axis'!J6</f>
        <v>-1.0828619035586674E-6</v>
      </c>
      <c r="K194" s="132">
        <f>'CS_6 X-axis'!K6</f>
        <v>0</v>
      </c>
      <c r="L194" s="132">
        <f>'CS_6 X-axis'!L6</f>
        <v>0</v>
      </c>
      <c r="M194" s="29">
        <f t="shared" ref="M194:M195" si="46">C194</f>
        <v>-300</v>
      </c>
      <c r="N194" s="46" t="s">
        <v>84</v>
      </c>
      <c r="O194" s="31">
        <f>AW193</f>
        <v>0</v>
      </c>
      <c r="P194" s="31">
        <f>BB193</f>
        <v>200.74996653750077</v>
      </c>
      <c r="Q194" s="31">
        <f>BG193</f>
        <v>-500.04991666250476</v>
      </c>
      <c r="AB194" t="s">
        <v>71</v>
      </c>
      <c r="AC194" s="29">
        <f>C179</f>
        <v>500</v>
      </c>
      <c r="AD194" s="29"/>
      <c r="AE194" s="78">
        <v>0</v>
      </c>
      <c r="AF194" s="49">
        <f>COS(AF192)</f>
        <v>0.99999950000004167</v>
      </c>
      <c r="AG194" s="49">
        <f>-SIN(AF192)</f>
        <v>-9.9999983333334168E-4</v>
      </c>
      <c r="AH194" s="79">
        <v>0</v>
      </c>
      <c r="AI194" s="80"/>
      <c r="AJ194" s="49">
        <v>0</v>
      </c>
      <c r="AK194" s="49">
        <v>1</v>
      </c>
      <c r="AL194" s="49">
        <v>0</v>
      </c>
      <c r="AM194" s="49">
        <v>0</v>
      </c>
      <c r="AN194" s="80"/>
      <c r="AO194" s="49">
        <f>SIN(AP192)</f>
        <v>9.9999983333334168E-4</v>
      </c>
      <c r="AP194" s="49">
        <f>AO193</f>
        <v>0.99999950000004167</v>
      </c>
      <c r="AQ194" s="49">
        <v>0</v>
      </c>
      <c r="AR194" s="49">
        <v>0</v>
      </c>
      <c r="AS194" s="80"/>
      <c r="AT194" s="29" t="s">
        <v>64</v>
      </c>
      <c r="AU194" s="49">
        <v>499.79895003348747</v>
      </c>
      <c r="AV194" s="49">
        <f>AU194-$AC194</f>
        <v>-0.20104996651252804</v>
      </c>
      <c r="AW194" s="49">
        <f>AV194/AF192</f>
        <v>-201.04996651252804</v>
      </c>
      <c r="AX194" s="80"/>
      <c r="AY194" s="29" t="s">
        <v>64</v>
      </c>
      <c r="AZ194" s="49">
        <v>500</v>
      </c>
      <c r="BA194" s="49">
        <f>AZ194-$AC194</f>
        <v>0</v>
      </c>
      <c r="BB194" s="49">
        <f>BA194/AK192</f>
        <v>0</v>
      </c>
      <c r="BC194" s="80"/>
      <c r="BD194" s="29" t="s">
        <v>64</v>
      </c>
      <c r="BE194" s="49">
        <v>500.09974998335417</v>
      </c>
      <c r="BF194" s="49">
        <f>BE194-$AC194</f>
        <v>9.97499833541724E-2</v>
      </c>
      <c r="BG194" s="49">
        <f>BF194/AP192</f>
        <v>99.7499833541724</v>
      </c>
    </row>
    <row r="195" spans="1:59" x14ac:dyDescent="0.25">
      <c r="A195" s="331"/>
      <c r="B195" s="41" t="s">
        <v>102</v>
      </c>
      <c r="C195" s="43">
        <v>0</v>
      </c>
      <c r="E195" s="46" t="s">
        <v>113</v>
      </c>
      <c r="F195" s="49">
        <v>0</v>
      </c>
      <c r="G195" s="132">
        <f>'CS_6 X-axis'!G7</f>
        <v>0</v>
      </c>
      <c r="H195" s="132">
        <f>'CS_6 X-axis'!H7</f>
        <v>0</v>
      </c>
      <c r="I195" s="132">
        <f>'CS_6 X-axis'!I7</f>
        <v>3.7259689903995191E-6</v>
      </c>
      <c r="J195" s="132">
        <f>'CS_6 X-axis'!J7</f>
        <v>0</v>
      </c>
      <c r="K195" s="132">
        <f>'CS_6 X-axis'!K7</f>
        <v>0</v>
      </c>
      <c r="L195" s="132">
        <f>'CS_6 X-axis'!L7</f>
        <v>0</v>
      </c>
      <c r="M195" s="29">
        <f t="shared" si="46"/>
        <v>0</v>
      </c>
      <c r="N195" s="46" t="s">
        <v>112</v>
      </c>
      <c r="O195" s="31">
        <f t="shared" ref="O195:O196" si="47">AW194</f>
        <v>-201.04996651252804</v>
      </c>
      <c r="P195" s="31">
        <f t="shared" ref="P195:P196" si="48">BB194</f>
        <v>0</v>
      </c>
      <c r="Q195" s="31">
        <f t="shared" ref="Q195:Q196" si="49">BG194</f>
        <v>99.7499833541724</v>
      </c>
      <c r="AB195" t="s">
        <v>72</v>
      </c>
      <c r="AC195" s="29">
        <f>C180</f>
        <v>200.79999999999995</v>
      </c>
      <c r="AD195" s="29"/>
      <c r="AE195" s="78">
        <v>0</v>
      </c>
      <c r="AF195" s="49">
        <f>-AG194</f>
        <v>9.9999983333334168E-4</v>
      </c>
      <c r="AG195" s="49">
        <f>AF194</f>
        <v>0.99999950000004167</v>
      </c>
      <c r="AH195" s="79">
        <v>0</v>
      </c>
      <c r="AI195" s="80"/>
      <c r="AJ195" s="49">
        <f>-SIN(AK192)</f>
        <v>-9.9999983333334168E-4</v>
      </c>
      <c r="AK195" s="49">
        <v>0</v>
      </c>
      <c r="AL195" s="49">
        <f>COS(AK192)</f>
        <v>0.99999950000004167</v>
      </c>
      <c r="AM195" s="49">
        <v>0</v>
      </c>
      <c r="AN195" s="80"/>
      <c r="AO195" s="49">
        <v>0</v>
      </c>
      <c r="AP195" s="49">
        <v>0</v>
      </c>
      <c r="AQ195" s="49">
        <v>1</v>
      </c>
      <c r="AR195" s="49">
        <v>0</v>
      </c>
      <c r="AS195" s="80"/>
      <c r="AT195" s="29" t="s">
        <v>65</v>
      </c>
      <c r="AU195" s="49">
        <v>201.299899516675</v>
      </c>
      <c r="AV195" s="49">
        <f>AU195-$AC195</f>
        <v>0.49989951667504329</v>
      </c>
      <c r="AW195" s="49">
        <f>AV195/AF192</f>
        <v>499.89951667504329</v>
      </c>
      <c r="AX195" s="80"/>
      <c r="AY195" s="29" t="s">
        <v>65</v>
      </c>
      <c r="AZ195" s="49">
        <v>200.699899616675</v>
      </c>
      <c r="BA195" s="49">
        <f>AZ195-$AC195</f>
        <v>-0.10010038332495697</v>
      </c>
      <c r="BB195" s="49">
        <f>BA195/AK192</f>
        <v>-100.10038332495697</v>
      </c>
      <c r="BC195" s="80"/>
      <c r="BD195" s="29" t="s">
        <v>65</v>
      </c>
      <c r="BE195" s="49">
        <v>200.79999999999995</v>
      </c>
      <c r="BF195" s="49">
        <f>BE195-$AC195</f>
        <v>0</v>
      </c>
      <c r="BG195" s="49">
        <f>BF195/AP192</f>
        <v>0</v>
      </c>
    </row>
    <row r="196" spans="1:59" ht="15" customHeight="1" x14ac:dyDescent="0.25">
      <c r="A196" s="331"/>
      <c r="B196" s="41" t="s">
        <v>108</v>
      </c>
      <c r="C196" s="43">
        <v>1</v>
      </c>
      <c r="E196" s="4" t="s">
        <v>85</v>
      </c>
      <c r="F196" s="49">
        <v>3.232617272145718E-4</v>
      </c>
      <c r="G196" s="132">
        <f>'CS_6 X-axis'!G8</f>
        <v>0</v>
      </c>
      <c r="H196" s="132">
        <f>'CS_6 X-axis'!H8</f>
        <v>-1.0828619035586674E-6</v>
      </c>
      <c r="I196" s="132">
        <f>'CS_6 X-axis'!I8</f>
        <v>0</v>
      </c>
      <c r="J196" s="132">
        <f>'CS_6 X-axis'!J8</f>
        <v>1.520803669550824E-11</v>
      </c>
      <c r="K196" s="132">
        <f>'CS_6 X-axis'!K8</f>
        <v>0</v>
      </c>
      <c r="L196" s="132">
        <f>'CS_6 X-axis'!L8</f>
        <v>0</v>
      </c>
      <c r="M196" s="29">
        <f>C197</f>
        <v>-105000</v>
      </c>
      <c r="N196" s="46" t="s">
        <v>113</v>
      </c>
      <c r="O196" s="31">
        <f t="shared" si="47"/>
        <v>499.89951667504329</v>
      </c>
      <c r="P196" s="31">
        <f t="shared" si="48"/>
        <v>-100.10038332495697</v>
      </c>
      <c r="Q196" s="31">
        <f t="shared" si="49"/>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x14ac:dyDescent="0.25">
      <c r="A197" s="331"/>
      <c r="B197" s="41" t="s">
        <v>103</v>
      </c>
      <c r="C197" s="43">
        <f t="array" ref="C197:C200">MMULT(O165:R168,E173:E176)</f>
        <v>-105000</v>
      </c>
      <c r="E197" s="4" t="s">
        <v>86</v>
      </c>
      <c r="F197" s="49">
        <v>0</v>
      </c>
      <c r="G197" s="132">
        <f>'CS_6 X-axis'!G9</f>
        <v>-4.3314476142346695E-6</v>
      </c>
      <c r="H197" s="132">
        <f>'CS_6 X-axis'!H9</f>
        <v>0</v>
      </c>
      <c r="I197" s="132">
        <f>'CS_6 X-axis'!I9</f>
        <v>0</v>
      </c>
      <c r="J197" s="132">
        <f>'CS_6 X-axis'!J9</f>
        <v>0</v>
      </c>
      <c r="K197" s="132">
        <f>'CS_6 X-axis'!K9</f>
        <v>1.7325790456938678E-8</v>
      </c>
      <c r="L197" s="132">
        <f>'CS_6 X-axis'!L9</f>
        <v>0</v>
      </c>
      <c r="M197" s="29">
        <f>C198</f>
        <v>0</v>
      </c>
      <c r="O197" s="3" t="s">
        <v>82</v>
      </c>
      <c r="T197" s="3" t="s">
        <v>83</v>
      </c>
      <c r="AE197" t="s">
        <v>95</v>
      </c>
      <c r="AJ197" t="s">
        <v>94</v>
      </c>
      <c r="AO197" t="s">
        <v>96</v>
      </c>
    </row>
    <row r="198" spans="1:59" ht="15" customHeight="1" x14ac:dyDescent="0.25">
      <c r="A198" s="331"/>
      <c r="B198" s="41" t="s">
        <v>104</v>
      </c>
      <c r="C198" s="43">
        <v>0</v>
      </c>
      <c r="E198" s="4" t="s">
        <v>87</v>
      </c>
      <c r="F198" s="49">
        <v>-4.7681065508062401E-5</v>
      </c>
      <c r="G198" s="132">
        <f>'CS_6 X-axis'!G10</f>
        <v>0</v>
      </c>
      <c r="H198" s="132">
        <f>'CS_6 X-axis'!H10</f>
        <v>0</v>
      </c>
      <c r="I198" s="132">
        <f>'CS_6 X-axis'!I10</f>
        <v>0</v>
      </c>
      <c r="J198" s="132">
        <f>'CS_6 X-axis'!J10</f>
        <v>0</v>
      </c>
      <c r="K198" s="132">
        <f>'CS_6 X-axis'!K10</f>
        <v>0</v>
      </c>
      <c r="L198" s="132">
        <f>'CS_6 X-axis'!L10</f>
        <v>1.5893688502687468E-9</v>
      </c>
      <c r="M198" s="29">
        <f>C199</f>
        <v>-30000</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100</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x14ac:dyDescent="0.25">
      <c r="A199" s="331"/>
      <c r="B199" s="41" t="s">
        <v>105</v>
      </c>
      <c r="C199" s="43">
        <v>-30000</v>
      </c>
      <c r="G199" s="111"/>
      <c r="H199" s="111"/>
      <c r="I199" s="111"/>
      <c r="J199" s="125"/>
      <c r="K199" s="125"/>
      <c r="L199" s="125"/>
      <c r="M199" s="125"/>
      <c r="O199" s="31">
        <v>0</v>
      </c>
      <c r="P199" s="31">
        <v>1</v>
      </c>
      <c r="Q199" s="31">
        <v>0</v>
      </c>
      <c r="R199" s="31">
        <v>0</v>
      </c>
      <c r="S199" s="11"/>
      <c r="T199" s="31">
        <v>0</v>
      </c>
      <c r="U199" s="31">
        <v>1</v>
      </c>
      <c r="V199" s="31">
        <v>0</v>
      </c>
      <c r="W199" s="31">
        <v>0</v>
      </c>
      <c r="X199" s="31"/>
      <c r="Y199" s="31"/>
      <c r="Z199" s="31"/>
      <c r="AA199" s="31"/>
      <c r="AB199" t="s">
        <v>69</v>
      </c>
      <c r="AC199" s="29">
        <v>500</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x14ac:dyDescent="0.25">
      <c r="A200" s="331"/>
      <c r="B200" s="41" t="s">
        <v>108</v>
      </c>
      <c r="C200" s="43">
        <v>1</v>
      </c>
      <c r="G200" s="111"/>
      <c r="H200" s="111"/>
      <c r="I200" s="111"/>
      <c r="J200" s="125"/>
      <c r="K200" s="125"/>
      <c r="L200" s="125"/>
      <c r="M200" s="125"/>
      <c r="O200" s="31">
        <v>0</v>
      </c>
      <c r="P200" s="31">
        <v>0</v>
      </c>
      <c r="Q200" s="31">
        <v>1</v>
      </c>
      <c r="R200" s="31">
        <v>0</v>
      </c>
      <c r="S200" s="11"/>
      <c r="T200" s="31">
        <v>0</v>
      </c>
      <c r="U200" s="31">
        <v>0</v>
      </c>
      <c r="V200" s="31">
        <v>1</v>
      </c>
      <c r="W200" s="31">
        <v>0</v>
      </c>
      <c r="X200" s="31"/>
      <c r="Y200" s="31"/>
      <c r="Z200" s="31"/>
      <c r="AA200" s="31"/>
      <c r="AB200" t="s">
        <v>70</v>
      </c>
      <c r="AC200" s="29">
        <v>200.79999999999995</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2" customFormat="1" x14ac:dyDescent="0.25">
      <c r="A201" s="331"/>
      <c r="B201" s="77" t="s">
        <v>183</v>
      </c>
      <c r="C201"/>
      <c r="D201" s="89" t="s">
        <v>246</v>
      </c>
      <c r="E201"/>
      <c r="G201" s="127"/>
      <c r="H201" s="127"/>
      <c r="I201" s="127"/>
      <c r="J201" s="134"/>
      <c r="K201" s="134"/>
      <c r="L201" s="134"/>
      <c r="M201" s="134"/>
      <c r="O201" s="123">
        <v>0</v>
      </c>
      <c r="P201" s="123">
        <v>0</v>
      </c>
      <c r="Q201" s="123">
        <v>0</v>
      </c>
      <c r="R201" s="123">
        <v>1</v>
      </c>
      <c r="S201" s="124"/>
      <c r="T201" s="123">
        <v>0</v>
      </c>
      <c r="U201" s="123">
        <v>0</v>
      </c>
      <c r="V201" s="123">
        <v>0</v>
      </c>
      <c r="W201" s="123">
        <v>1</v>
      </c>
      <c r="X201" s="123"/>
      <c r="Y201" s="123"/>
      <c r="Z201" s="123"/>
      <c r="AA201" s="123"/>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2" customFormat="1" x14ac:dyDescent="0.25">
      <c r="A202" s="331"/>
      <c r="B202" s="41" t="s">
        <v>100</v>
      </c>
      <c r="C202" s="42">
        <v>0</v>
      </c>
      <c r="D202" s="41" t="s">
        <v>100</v>
      </c>
      <c r="E202" s="43">
        <f>C193+C202</f>
        <v>0</v>
      </c>
      <c r="F202" s="130"/>
      <c r="G202" s="134"/>
      <c r="H202" s="137"/>
      <c r="I202" s="134"/>
      <c r="J202" s="134"/>
      <c r="K202" s="134"/>
      <c r="L202" s="134"/>
      <c r="M202" s="134"/>
      <c r="O202" s="123"/>
      <c r="P202" s="123"/>
      <c r="Q202" s="123"/>
      <c r="R202" s="123"/>
      <c r="S202" s="124"/>
      <c r="T202" s="123"/>
      <c r="U202" s="123"/>
      <c r="V202" s="123"/>
      <c r="W202" s="123"/>
      <c r="X202" s="123"/>
      <c r="Y202" s="123"/>
      <c r="Z202" s="123"/>
      <c r="AA202" s="123"/>
      <c r="AC202" s="32"/>
      <c r="AD202" s="32"/>
      <c r="AE202" s="32"/>
      <c r="AF202" s="32"/>
      <c r="AG202" s="32"/>
      <c r="AH202" s="32"/>
      <c r="AJ202" s="32"/>
      <c r="AK202" s="32"/>
      <c r="AL202" s="32"/>
      <c r="AM202" s="32"/>
      <c r="AO202" s="32"/>
      <c r="AP202" s="32"/>
      <c r="AQ202" s="32"/>
      <c r="AR202" s="32"/>
    </row>
    <row r="203" spans="1:59" s="122" customFormat="1" x14ac:dyDescent="0.25">
      <c r="A203" s="331"/>
      <c r="B203" s="41" t="s">
        <v>101</v>
      </c>
      <c r="C203" s="42">
        <v>0</v>
      </c>
      <c r="D203" s="41" t="s">
        <v>101</v>
      </c>
      <c r="E203" s="43">
        <f>C194+C203</f>
        <v>-300</v>
      </c>
      <c r="F203" s="130"/>
      <c r="G203" s="134"/>
      <c r="H203" s="137"/>
      <c r="I203" s="134"/>
      <c r="J203" s="134"/>
      <c r="K203" s="134"/>
      <c r="L203" s="134"/>
      <c r="M203" s="134"/>
      <c r="O203" s="123"/>
      <c r="P203" s="123"/>
      <c r="Q203" s="123"/>
      <c r="R203" s="123"/>
      <c r="S203" s="124"/>
      <c r="T203" s="123"/>
      <c r="U203" s="123"/>
      <c r="V203" s="123"/>
      <c r="W203" s="123"/>
      <c r="X203" s="123"/>
      <c r="Y203" s="123"/>
      <c r="Z203" s="123"/>
      <c r="AA203" s="123"/>
      <c r="AC203" s="32"/>
      <c r="AD203" s="32"/>
      <c r="AE203" s="32"/>
      <c r="AF203" s="32"/>
      <c r="AG203" s="32"/>
      <c r="AH203" s="32"/>
      <c r="AJ203" s="32"/>
      <c r="AK203" s="32"/>
      <c r="AL203" s="32"/>
      <c r="AM203" s="32"/>
      <c r="AO203" s="32"/>
      <c r="AP203" s="32"/>
      <c r="AQ203" s="32"/>
      <c r="AR203" s="32"/>
    </row>
    <row r="204" spans="1:59" s="122" customFormat="1" x14ac:dyDescent="0.25">
      <c r="A204" s="331"/>
      <c r="B204" s="41" t="s">
        <v>102</v>
      </c>
      <c r="C204" s="42">
        <v>0</v>
      </c>
      <c r="D204" s="41" t="s">
        <v>102</v>
      </c>
      <c r="E204" s="43">
        <f>C195+C204</f>
        <v>0</v>
      </c>
      <c r="F204" s="130"/>
      <c r="G204" s="134"/>
      <c r="H204" s="137"/>
      <c r="I204" s="134"/>
      <c r="J204" s="134"/>
      <c r="K204" s="134"/>
      <c r="L204" s="134"/>
      <c r="M204" s="134"/>
      <c r="O204" s="123"/>
      <c r="P204" s="123"/>
      <c r="Q204" s="123"/>
      <c r="R204" s="123"/>
      <c r="S204" s="124"/>
      <c r="T204" s="123"/>
      <c r="U204" s="123"/>
      <c r="V204" s="123"/>
      <c r="W204" s="123"/>
      <c r="X204" s="123"/>
      <c r="Y204" s="123"/>
      <c r="Z204" s="123"/>
      <c r="AA204" s="123"/>
      <c r="AC204" s="32"/>
      <c r="AD204" s="32"/>
      <c r="AE204" s="32"/>
      <c r="AF204" s="32"/>
      <c r="AG204" s="32"/>
      <c r="AH204" s="32"/>
      <c r="AJ204" s="32"/>
      <c r="AK204" s="32"/>
      <c r="AL204" s="32"/>
      <c r="AM204" s="32"/>
      <c r="AO204" s="32"/>
      <c r="AP204" s="32"/>
      <c r="AQ204" s="32"/>
      <c r="AR204" s="32"/>
    </row>
    <row r="205" spans="1:59" s="122" customFormat="1" x14ac:dyDescent="0.25">
      <c r="A205" s="331"/>
      <c r="B205" s="130" t="s">
        <v>108</v>
      </c>
      <c r="C205" s="131">
        <v>1</v>
      </c>
      <c r="D205" s="130" t="s">
        <v>108</v>
      </c>
      <c r="E205" s="131">
        <v>1</v>
      </c>
      <c r="F205" s="130"/>
      <c r="G205" s="134"/>
      <c r="H205" s="137"/>
      <c r="I205" s="134"/>
      <c r="J205" s="134"/>
      <c r="K205" s="134"/>
      <c r="L205" s="134"/>
      <c r="M205" s="134"/>
      <c r="O205" s="123"/>
      <c r="P205" s="123"/>
      <c r="Q205" s="123"/>
      <c r="R205" s="123"/>
      <c r="S205" s="124"/>
      <c r="T205" s="123"/>
      <c r="U205" s="123"/>
      <c r="V205" s="123"/>
      <c r="W205" s="123"/>
      <c r="X205" s="123"/>
      <c r="Y205" s="123"/>
      <c r="Z205" s="123"/>
      <c r="AA205" s="123"/>
      <c r="AC205" s="32"/>
      <c r="AD205" s="32"/>
      <c r="AE205" s="32"/>
      <c r="AF205" s="32"/>
      <c r="AG205" s="32"/>
      <c r="AH205" s="32"/>
      <c r="AJ205" s="32"/>
      <c r="AK205" s="32"/>
      <c r="AL205" s="32"/>
      <c r="AM205" s="32"/>
      <c r="AO205" s="32"/>
      <c r="AP205" s="32"/>
      <c r="AQ205" s="32"/>
      <c r="AR205" s="32"/>
    </row>
    <row r="206" spans="1:59" s="122" customFormat="1" x14ac:dyDescent="0.25">
      <c r="A206" s="331"/>
      <c r="B206" s="41" t="s">
        <v>103</v>
      </c>
      <c r="C206" s="42">
        <v>0</v>
      </c>
      <c r="D206" s="41" t="s">
        <v>103</v>
      </c>
      <c r="E206" s="43">
        <f>C197+C206+C195*C153-C194*C154</f>
        <v>60240</v>
      </c>
      <c r="F206" s="130"/>
      <c r="G206" s="134"/>
      <c r="H206" s="137"/>
      <c r="I206" s="134"/>
      <c r="J206" s="134"/>
      <c r="K206" s="134"/>
      <c r="L206" s="134"/>
      <c r="M206" s="134"/>
      <c r="O206" s="123"/>
      <c r="P206" s="123"/>
      <c r="Q206" s="123"/>
      <c r="R206" s="123"/>
      <c r="S206" s="124"/>
      <c r="T206" s="123"/>
      <c r="U206" s="123"/>
      <c r="V206" s="123"/>
      <c r="W206" s="123"/>
      <c r="X206" s="123"/>
      <c r="Y206" s="123"/>
      <c r="Z206" s="123"/>
      <c r="AA206" s="123"/>
      <c r="AC206" s="32"/>
      <c r="AD206" s="32"/>
      <c r="AE206" s="32"/>
      <c r="AF206" s="32"/>
      <c r="AG206" s="32"/>
      <c r="AH206" s="32"/>
      <c r="AJ206" s="32"/>
      <c r="AK206" s="32"/>
      <c r="AL206" s="32"/>
      <c r="AM206" s="32"/>
      <c r="AO206" s="32"/>
      <c r="AP206" s="32"/>
      <c r="AQ206" s="32"/>
      <c r="AR206" s="32"/>
    </row>
    <row r="207" spans="1:59" s="122" customFormat="1" x14ac:dyDescent="0.25">
      <c r="A207" s="331"/>
      <c r="B207" s="41" t="s">
        <v>104</v>
      </c>
      <c r="C207" s="42">
        <v>0</v>
      </c>
      <c r="D207" s="41" t="s">
        <v>104</v>
      </c>
      <c r="E207" s="43">
        <f>C198+C207+C193*C154-C195*C152</f>
        <v>0</v>
      </c>
      <c r="F207" s="130"/>
      <c r="G207" s="134"/>
      <c r="H207" s="137"/>
      <c r="I207" s="134"/>
      <c r="J207" s="134"/>
      <c r="K207" s="134"/>
      <c r="L207" s="134"/>
      <c r="M207" s="134"/>
      <c r="O207" s="123"/>
      <c r="P207" s="123"/>
      <c r="Q207" s="123"/>
      <c r="R207" s="123"/>
      <c r="S207" s="124"/>
      <c r="T207" s="123"/>
      <c r="U207" s="123"/>
      <c r="V207" s="123"/>
      <c r="W207" s="123"/>
      <c r="X207" s="123"/>
      <c r="Y207" s="123"/>
      <c r="Z207" s="123"/>
      <c r="AA207" s="123"/>
      <c r="AC207" s="32"/>
      <c r="AD207" s="32"/>
      <c r="AE207" s="32"/>
      <c r="AF207" s="32"/>
      <c r="AG207" s="32"/>
      <c r="AH207" s="32"/>
      <c r="AJ207" s="32"/>
      <c r="AK207" s="32"/>
      <c r="AL207" s="32"/>
      <c r="AM207" s="32"/>
      <c r="AO207" s="32"/>
      <c r="AP207" s="32"/>
      <c r="AQ207" s="32"/>
      <c r="AR207" s="32"/>
    </row>
    <row r="208" spans="1:59" s="122" customFormat="1" x14ac:dyDescent="0.25">
      <c r="A208" s="331"/>
      <c r="B208" s="41" t="s">
        <v>105</v>
      </c>
      <c r="C208" s="42">
        <v>0</v>
      </c>
      <c r="D208" s="41" t="s">
        <v>105</v>
      </c>
      <c r="E208" s="43">
        <f>C199+C208+C194*C152-C193*C153</f>
        <v>-30000</v>
      </c>
      <c r="F208" s="130"/>
      <c r="G208" s="134"/>
      <c r="H208" s="137"/>
      <c r="I208" s="134"/>
      <c r="J208" s="134"/>
      <c r="K208" s="134"/>
      <c r="L208" s="134"/>
      <c r="M208" s="134"/>
      <c r="O208" s="123"/>
      <c r="P208" s="123"/>
      <c r="Q208" s="123"/>
      <c r="R208" s="123"/>
      <c r="S208" s="124"/>
      <c r="T208" s="123"/>
      <c r="U208" s="123"/>
      <c r="V208" s="123"/>
      <c r="W208" s="123"/>
      <c r="X208" s="123"/>
      <c r="Y208" s="123"/>
      <c r="Z208" s="123"/>
      <c r="AA208" s="123"/>
      <c r="AC208" s="32"/>
      <c r="AD208" s="32"/>
      <c r="AE208" s="32"/>
      <c r="AF208" s="32"/>
      <c r="AG208" s="32"/>
      <c r="AH208" s="32"/>
      <c r="AJ208" s="32"/>
      <c r="AK208" s="32"/>
      <c r="AL208" s="32"/>
      <c r="AM208" s="32"/>
      <c r="AO208" s="32"/>
      <c r="AP208" s="32"/>
      <c r="AQ208" s="32"/>
      <c r="AR208" s="32"/>
    </row>
    <row r="209" spans="1:62" s="52" customFormat="1" ht="16.5" thickBot="1" x14ac:dyDescent="0.3">
      <c r="A209" s="332"/>
      <c r="B209" s="57" t="s">
        <v>108</v>
      </c>
      <c r="C209" s="58">
        <v>1</v>
      </c>
      <c r="D209" s="57" t="s">
        <v>108</v>
      </c>
      <c r="E209" s="58">
        <v>1</v>
      </c>
      <c r="F209" s="57"/>
      <c r="G209" s="135"/>
      <c r="H209" s="138"/>
      <c r="I209" s="135"/>
      <c r="J209" s="135"/>
      <c r="K209" s="135"/>
      <c r="L209" s="135"/>
      <c r="M209" s="135"/>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x14ac:dyDescent="0.25">
      <c r="A210" s="334" t="s">
        <v>329</v>
      </c>
      <c r="B210" s="68" t="s">
        <v>250</v>
      </c>
      <c r="E210" s="1" t="s">
        <v>146</v>
      </c>
    </row>
    <row r="211" spans="1:62" ht="15" customHeight="1" x14ac:dyDescent="0.25">
      <c r="A211" s="334"/>
      <c r="B211" s="12" t="s">
        <v>73</v>
      </c>
      <c r="C211" s="56">
        <f>C189</f>
        <v>0</v>
      </c>
      <c r="E211" s="319" t="s">
        <v>138</v>
      </c>
      <c r="F211" s="319"/>
      <c r="G211" s="319" t="s">
        <v>139</v>
      </c>
      <c r="H211" s="319"/>
      <c r="N211" s="34" t="s">
        <v>98</v>
      </c>
      <c r="O211" s="1"/>
      <c r="P211" s="67"/>
      <c r="Q211" s="1"/>
      <c r="R211" s="1"/>
      <c r="S211" s="34" t="s">
        <v>136</v>
      </c>
      <c r="Y211" s="94" t="s">
        <v>297</v>
      </c>
    </row>
    <row r="212" spans="1:62" ht="15" customHeight="1" x14ac:dyDescent="0.25">
      <c r="A212" s="334"/>
      <c r="B212" s="12" t="s">
        <v>74</v>
      </c>
      <c r="C212" s="56">
        <f>C190</f>
        <v>0</v>
      </c>
      <c r="E212" s="46" t="s">
        <v>84</v>
      </c>
      <c r="F212" s="48">
        <f>'CS_7 Bed'!B45</f>
        <v>5.0000000000000001E-3</v>
      </c>
      <c r="G212" s="46" t="s">
        <v>84</v>
      </c>
      <c r="H212" s="48">
        <f>'CS_7 Bed'!B52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x14ac:dyDescent="0.25">
      <c r="A213" s="334"/>
      <c r="B213" s="12" t="s">
        <v>75</v>
      </c>
      <c r="C213" s="56">
        <f>C191</f>
        <v>0</v>
      </c>
      <c r="E213" s="46" t="s">
        <v>112</v>
      </c>
      <c r="F213" s="48">
        <f>'CS_7 Bed'!B46</f>
        <v>5.0000000000000001E-3</v>
      </c>
      <c r="G213" s="46" t="s">
        <v>112</v>
      </c>
      <c r="H213" s="48">
        <f>'CS_7 Bed'!B53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4.73925003588618E-4</v>
      </c>
      <c r="Z213" s="29">
        <f>F222*O227</f>
        <v>0</v>
      </c>
      <c r="AA213" s="29">
        <f>F223*P227</f>
        <v>0</v>
      </c>
      <c r="AB213" s="29">
        <f>F224*Q227</f>
        <v>0</v>
      </c>
    </row>
    <row r="214" spans="1:62" ht="15" customHeight="1" x14ac:dyDescent="0.25">
      <c r="A214" s="60">
        <v>7</v>
      </c>
      <c r="B214" s="1" t="s">
        <v>76</v>
      </c>
      <c r="E214" s="46" t="s">
        <v>113</v>
      </c>
      <c r="F214" s="48">
        <f>'CS_7 Bed'!B47</f>
        <v>5.0000000000000001E-3</v>
      </c>
      <c r="G214" s="46" t="s">
        <v>113</v>
      </c>
      <c r="H214" s="48">
        <f>'CS_7 Bed'!B54</f>
        <v>0</v>
      </c>
      <c r="N214" s="46" t="s">
        <v>112</v>
      </c>
      <c r="O214" s="50">
        <f t="shared" ref="O214:O215" si="50">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1">F220+F227</f>
        <v>-1.7192425539198903E-4</v>
      </c>
      <c r="Z214" s="29">
        <f>F222*O228</f>
        <v>0</v>
      </c>
      <c r="AA214" s="29">
        <f>F223*P228</f>
        <v>0</v>
      </c>
      <c r="AB214" s="29">
        <f>F224*Q228</f>
        <v>0</v>
      </c>
    </row>
    <row r="215" spans="1:62" ht="15" customHeight="1" x14ac:dyDescent="0.25">
      <c r="A215" s="43">
        <f>IF(A214&gt;Naxes,0,1)</f>
        <v>0</v>
      </c>
      <c r="B215" s="2" t="s">
        <v>177</v>
      </c>
      <c r="C215" s="37">
        <v>0</v>
      </c>
      <c r="E215" s="4" t="s">
        <v>85</v>
      </c>
      <c r="F215" s="48">
        <f>'CS_7 Bed'!B48</f>
        <v>5.0000000000000009E-5</v>
      </c>
      <c r="G215" s="4" t="s">
        <v>85</v>
      </c>
      <c r="H215" s="48">
        <f>'CS_7 Bed'!B55</f>
        <v>0</v>
      </c>
      <c r="N215" s="46" t="s">
        <v>113</v>
      </c>
      <c r="O215" s="50">
        <f t="shared" si="50"/>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1"/>
        <v>3.1077889383896995E-3</v>
      </c>
      <c r="Z215" s="29">
        <f>F222*O229</f>
        <v>0</v>
      </c>
      <c r="AA215" s="29">
        <f>F223*P229</f>
        <v>0</v>
      </c>
      <c r="AB215" s="29">
        <f>F224*Q229</f>
        <v>0</v>
      </c>
    </row>
    <row r="216" spans="1:62" ht="15" customHeight="1" x14ac:dyDescent="0.25">
      <c r="A216" s="336" t="s">
        <v>127</v>
      </c>
      <c r="B216" s="2" t="s">
        <v>179</v>
      </c>
      <c r="C216" s="37">
        <v>0</v>
      </c>
      <c r="E216" s="4" t="s">
        <v>86</v>
      </c>
      <c r="F216" s="48">
        <f>'CS_7 Bed'!B49</f>
        <v>5.0000000000000009E-5</v>
      </c>
      <c r="G216" s="4" t="s">
        <v>86</v>
      </c>
      <c r="H216" s="48">
        <f>'CS_7 Bed'!B56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x14ac:dyDescent="0.25">
      <c r="A217" s="336"/>
      <c r="B217" s="2" t="s">
        <v>178</v>
      </c>
      <c r="C217" s="37">
        <v>0</v>
      </c>
      <c r="E217" s="4" t="s">
        <v>87</v>
      </c>
      <c r="F217" s="48">
        <f>'CS_7 Bed'!B50</f>
        <v>4.999999975000001E-5</v>
      </c>
      <c r="G217" s="4" t="s">
        <v>87</v>
      </c>
      <c r="H217" s="48">
        <f>'CS_7 Bed'!B57</f>
        <v>0</v>
      </c>
      <c r="X217" s="6"/>
    </row>
    <row r="218" spans="1:62" ht="32.1" customHeight="1" x14ac:dyDescent="0.25">
      <c r="A218" s="336"/>
      <c r="B218" s="2" t="s">
        <v>245</v>
      </c>
      <c r="C218" s="38">
        <v>0</v>
      </c>
      <c r="E218" s="317" t="s">
        <v>303</v>
      </c>
      <c r="F218" s="317"/>
      <c r="G218" s="319" t="s">
        <v>251</v>
      </c>
      <c r="H218" s="319"/>
      <c r="I218" s="317" t="s">
        <v>306</v>
      </c>
      <c r="J218" s="317"/>
      <c r="K218" s="317" t="s">
        <v>304</v>
      </c>
      <c r="L218" s="317"/>
      <c r="N218" s="34" t="s">
        <v>99</v>
      </c>
      <c r="O218" s="1"/>
      <c r="P218" s="67"/>
      <c r="Q218" s="1"/>
      <c r="R218" s="1"/>
      <c r="S218" s="34" t="s">
        <v>137</v>
      </c>
      <c r="X218" s="6"/>
      <c r="Y218" s="94" t="s">
        <v>296</v>
      </c>
    </row>
    <row r="219" spans="1:62" ht="15" customHeight="1" x14ac:dyDescent="0.25">
      <c r="A219" s="336"/>
      <c r="B219" s="2" t="s">
        <v>77</v>
      </c>
      <c r="C219" s="38">
        <v>0</v>
      </c>
      <c r="E219" s="46" t="s">
        <v>84</v>
      </c>
      <c r="F219" s="49">
        <f>E235/IF(H219=0,1000000000000,H219)</f>
        <v>0</v>
      </c>
      <c r="G219" s="4" t="s">
        <v>117</v>
      </c>
      <c r="H219" s="29">
        <f>'CS_7 Bed'!B25</f>
        <v>400000000</v>
      </c>
      <c r="I219" s="4" t="s">
        <v>85</v>
      </c>
      <c r="J219" s="49">
        <f>A248*F262</f>
        <v>0</v>
      </c>
      <c r="K219" s="4" t="s">
        <v>85</v>
      </c>
      <c r="L219" s="139">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x14ac:dyDescent="0.25">
      <c r="A220" s="330" t="s">
        <v>364</v>
      </c>
      <c r="B220" s="2" t="s">
        <v>107</v>
      </c>
      <c r="C220" s="37">
        <v>0</v>
      </c>
      <c r="E220" s="46" t="s">
        <v>112</v>
      </c>
      <c r="F220" s="49">
        <f t="shared" ref="F220:F221" si="52">E236/IF(H220=0,1000000000000,H220)</f>
        <v>-7.5000000000000002E-7</v>
      </c>
      <c r="G220" s="4" t="s">
        <v>118</v>
      </c>
      <c r="H220" s="29">
        <f>'CS_7 Bed'!B26</f>
        <v>400000000</v>
      </c>
      <c r="I220" s="4" t="s">
        <v>86</v>
      </c>
      <c r="J220" s="49">
        <f>A248*F263</f>
        <v>0</v>
      </c>
      <c r="K220" s="4" t="s">
        <v>86</v>
      </c>
      <c r="L220" s="139">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4.73925003588618E-4</v>
      </c>
      <c r="Z220" s="29">
        <f t="array" ref="Z220:Z223">MMULT(T231:W234,Z213:Z216)</f>
        <v>0</v>
      </c>
      <c r="AA220" s="29">
        <f t="array" ref="AA220:AA223">MMULT(T231:W234,AA213:AA216)</f>
        <v>0</v>
      </c>
      <c r="AB220" s="29">
        <f t="array" ref="AB220:AB223">MMULT(T231:W234,AB213:AB216)</f>
        <v>0</v>
      </c>
    </row>
    <row r="221" spans="1:62" ht="15" customHeight="1" x14ac:dyDescent="0.25">
      <c r="A221" s="331"/>
      <c r="B221" s="34" t="s">
        <v>78</v>
      </c>
      <c r="E221" s="46" t="s">
        <v>113</v>
      </c>
      <c r="F221" s="49">
        <f t="shared" si="52"/>
        <v>0</v>
      </c>
      <c r="G221" s="4" t="s">
        <v>119</v>
      </c>
      <c r="H221" s="29">
        <f>'CS_7 Bed'!B27</f>
        <v>400000000</v>
      </c>
      <c r="I221" s="4" t="s">
        <v>87</v>
      </c>
      <c r="J221" s="49">
        <f>A248*F264</f>
        <v>0</v>
      </c>
      <c r="K221" s="4" t="s">
        <v>87</v>
      </c>
      <c r="L221" s="139">
        <v>0</v>
      </c>
      <c r="N221" s="46" t="s">
        <v>112</v>
      </c>
      <c r="O221" s="50">
        <f>H213</f>
        <v>0</v>
      </c>
      <c r="P221" s="50">
        <f>H215*O228</f>
        <v>0</v>
      </c>
      <c r="Q221" s="50">
        <f>H216*P228</f>
        <v>0</v>
      </c>
      <c r="R221" s="50">
        <f>H217*Q228</f>
        <v>0</v>
      </c>
      <c r="S221" s="46" t="s">
        <v>112</v>
      </c>
      <c r="T221" s="50">
        <v>0</v>
      </c>
      <c r="U221" s="50">
        <v>0</v>
      </c>
      <c r="V221" s="50">
        <v>0</v>
      </c>
      <c r="W221" s="50">
        <v>0</v>
      </c>
      <c r="X221" s="70" t="s">
        <v>112</v>
      </c>
      <c r="Y221" s="29">
        <v>-1.7192425539198903E-4</v>
      </c>
      <c r="Z221" s="29">
        <v>0</v>
      </c>
      <c r="AA221" s="29">
        <v>0</v>
      </c>
      <c r="AB221" s="29">
        <v>0</v>
      </c>
    </row>
    <row r="222" spans="1:62" ht="15" customHeight="1" x14ac:dyDescent="0.25">
      <c r="A222" s="331"/>
      <c r="B222" s="12" t="s">
        <v>79</v>
      </c>
      <c r="C222" s="31">
        <f>AC231+C218</f>
        <v>0</v>
      </c>
      <c r="E222" s="4" t="s">
        <v>85</v>
      </c>
      <c r="F222" s="49">
        <f>E239/IF(H222=0,1000000000000,H222)+L219</f>
        <v>0</v>
      </c>
      <c r="G222" s="46" t="s">
        <v>8</v>
      </c>
      <c r="H222" s="29">
        <f>'CS_7 Bed'!B29</f>
        <v>4000404375000</v>
      </c>
      <c r="I222" s="4" t="s">
        <v>305</v>
      </c>
      <c r="J222" s="29">
        <v>1</v>
      </c>
      <c r="K222" s="4" t="s">
        <v>305</v>
      </c>
      <c r="L222" s="139">
        <v>1</v>
      </c>
      <c r="N222" s="46" t="s">
        <v>113</v>
      </c>
      <c r="O222" s="50">
        <f>H214</f>
        <v>0</v>
      </c>
      <c r="P222" s="50">
        <f>H215*O229</f>
        <v>0</v>
      </c>
      <c r="Q222" s="50">
        <f>H216*P229</f>
        <v>0</v>
      </c>
      <c r="R222" s="50">
        <f>H217*Q229</f>
        <v>0</v>
      </c>
      <c r="S222" s="46" t="s">
        <v>113</v>
      </c>
      <c r="T222" s="50">
        <v>0</v>
      </c>
      <c r="U222" s="50">
        <v>0</v>
      </c>
      <c r="V222" s="50">
        <v>0</v>
      </c>
      <c r="W222" s="50">
        <v>0</v>
      </c>
      <c r="X222" s="70" t="s">
        <v>113</v>
      </c>
      <c r="Y222" s="29">
        <v>3.1077889383896995E-3</v>
      </c>
      <c r="Z222" s="29">
        <v>0</v>
      </c>
      <c r="AA222" s="29">
        <v>0</v>
      </c>
      <c r="AB222" s="29">
        <v>0</v>
      </c>
    </row>
    <row r="223" spans="1:62" ht="15" customHeight="1" x14ac:dyDescent="0.25">
      <c r="A223" s="331"/>
      <c r="B223" s="12" t="s">
        <v>80</v>
      </c>
      <c r="C223" s="31">
        <f>AC232+C219</f>
        <v>0</v>
      </c>
      <c r="E223" s="4" t="s">
        <v>86</v>
      </c>
      <c r="F223" s="49">
        <f t="shared" ref="F223:F224" si="53">E240/IF(H223=0,1000000000000,H223)+L220</f>
        <v>0</v>
      </c>
      <c r="G223" s="46" t="s">
        <v>120</v>
      </c>
      <c r="H223" s="29">
        <f>'CS_7 Bed'!B30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x14ac:dyDescent="0.25">
      <c r="A224" s="331"/>
      <c r="B224" s="12" t="s">
        <v>81</v>
      </c>
      <c r="C224" s="31">
        <f>AC233+C220</f>
        <v>0</v>
      </c>
      <c r="E224" s="4" t="s">
        <v>87</v>
      </c>
      <c r="F224" s="49">
        <f t="shared" si="53"/>
        <v>0</v>
      </c>
      <c r="G224" s="46" t="s">
        <v>116</v>
      </c>
      <c r="H224" s="29">
        <f>'CS_7 Bed'!B31</f>
        <v>8000134791666.667</v>
      </c>
      <c r="AB224" s="5"/>
      <c r="AU224" s="5" t="s">
        <v>67</v>
      </c>
      <c r="AZ224" s="5" t="s">
        <v>92</v>
      </c>
      <c r="BE224" s="5" t="s">
        <v>97</v>
      </c>
      <c r="BJ224" s="5" t="s">
        <v>97</v>
      </c>
    </row>
    <row r="225" spans="1:59" ht="31.5" x14ac:dyDescent="0.25">
      <c r="A225" s="331"/>
      <c r="B225" s="69" t="s">
        <v>106</v>
      </c>
      <c r="E225" s="319" t="s">
        <v>294</v>
      </c>
      <c r="F225" s="333"/>
      <c r="G225" s="327" t="s">
        <v>293</v>
      </c>
      <c r="H225" s="328"/>
      <c r="I225" s="328"/>
      <c r="J225" s="328"/>
      <c r="K225" s="328"/>
      <c r="L225" s="329"/>
      <c r="M225" s="93" t="s">
        <v>295</v>
      </c>
      <c r="N225" s="84" t="s">
        <v>248</v>
      </c>
      <c r="AE225" s="45" t="s">
        <v>227</v>
      </c>
      <c r="AF225" s="91">
        <v>1E-3</v>
      </c>
      <c r="AG225" s="45"/>
      <c r="AH225" s="45"/>
      <c r="AI225" s="45"/>
      <c r="AJ225" s="45" t="s">
        <v>93</v>
      </c>
      <c r="AK225" s="92">
        <v>1E-3</v>
      </c>
      <c r="AL225" s="7"/>
      <c r="AM225" s="7"/>
      <c r="AN225" s="45"/>
      <c r="AO225" s="45" t="s">
        <v>226</v>
      </c>
      <c r="AP225" s="91">
        <v>1E-3</v>
      </c>
      <c r="AU225" s="7" t="s">
        <v>0</v>
      </c>
      <c r="AV225" s="7" t="s">
        <v>1</v>
      </c>
      <c r="AW225" s="7" t="s">
        <v>2</v>
      </c>
      <c r="AZ225" s="7" t="s">
        <v>0</v>
      </c>
      <c r="BA225" s="7" t="s">
        <v>1</v>
      </c>
      <c r="BB225" s="7" t="s">
        <v>2</v>
      </c>
      <c r="BE225" s="7" t="s">
        <v>0</v>
      </c>
      <c r="BF225" s="7" t="s">
        <v>1</v>
      </c>
      <c r="BG225" s="7" t="s">
        <v>2</v>
      </c>
    </row>
    <row r="226" spans="1:59" ht="15" customHeight="1" x14ac:dyDescent="0.25">
      <c r="A226" s="331"/>
      <c r="B226" s="41" t="s">
        <v>100</v>
      </c>
      <c r="C226" s="43">
        <f t="array" ref="C226:C229">MMULT(O198:R201,E202:E205)</f>
        <v>0</v>
      </c>
      <c r="E226" s="46" t="s">
        <v>84</v>
      </c>
      <c r="F226" s="49">
        <f t="array" ref="F226:F231">MMULT(G226:L231,M226:M231)</f>
        <v>4.73925003588618E-4</v>
      </c>
      <c r="G226" s="132">
        <f>'CS_7 Bed'!G5</f>
        <v>5.7058085130663014E-7</v>
      </c>
      <c r="H226" s="132">
        <f>'CS_7 Bed'!H5</f>
        <v>0</v>
      </c>
      <c r="I226" s="132">
        <f>'CS_7 Bed'!I5</f>
        <v>0</v>
      </c>
      <c r="J226" s="132">
        <f>'CS_7 Bed'!J5</f>
        <v>0</v>
      </c>
      <c r="K226" s="132">
        <f>'CS_7 Bed'!K5</f>
        <v>0</v>
      </c>
      <c r="L226" s="132">
        <f>'CS_7 Bed'!L5</f>
        <v>-1.57975001196206E-8</v>
      </c>
      <c r="M226" s="29">
        <f>C226</f>
        <v>0</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0.99999950000004167</v>
      </c>
      <c r="AK226" s="49">
        <v>0</v>
      </c>
      <c r="AL226" s="49">
        <f>-AJ228</f>
        <v>9.9999983333334168E-4</v>
      </c>
      <c r="AM226" s="49">
        <v>0</v>
      </c>
      <c r="AN226" s="80"/>
      <c r="AO226" s="49">
        <f>COS(AP225)</f>
        <v>0.99999950000004167</v>
      </c>
      <c r="AP226" s="49">
        <f>-AO227</f>
        <v>-9.9999983333334168E-4</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x14ac:dyDescent="0.25">
      <c r="A227" s="331"/>
      <c r="B227" s="41" t="s">
        <v>101</v>
      </c>
      <c r="C227" s="43">
        <v>-300</v>
      </c>
      <c r="E227" s="46" t="s">
        <v>112</v>
      </c>
      <c r="F227" s="49">
        <v>-1.7117425539198904E-4</v>
      </c>
      <c r="G227" s="132">
        <f>'CS_7 Bed'!G6</f>
        <v>0</v>
      </c>
      <c r="H227" s="132">
        <f>'CS_7 Bed'!H6</f>
        <v>5.7058085130663014E-7</v>
      </c>
      <c r="I227" s="132">
        <f>'CS_7 Bed'!I6</f>
        <v>0</v>
      </c>
      <c r="J227" s="132">
        <f>'CS_7 Bed'!J6</f>
        <v>0</v>
      </c>
      <c r="K227" s="132">
        <f>'CS_7 Bed'!K6</f>
        <v>0</v>
      </c>
      <c r="L227" s="132">
        <f>'CS_7 Bed'!L6</f>
        <v>0</v>
      </c>
      <c r="M227" s="29">
        <f t="shared" ref="M227:M228" si="54">C227</f>
        <v>-300</v>
      </c>
      <c r="N227" s="46" t="s">
        <v>84</v>
      </c>
      <c r="O227" s="31">
        <f>AW226</f>
        <v>0</v>
      </c>
      <c r="P227" s="31">
        <f>BB226</f>
        <v>0</v>
      </c>
      <c r="Q227" s="31">
        <f>BG226</f>
        <v>0</v>
      </c>
      <c r="AB227" t="s">
        <v>71</v>
      </c>
      <c r="AC227" s="29">
        <f>C212</f>
        <v>0</v>
      </c>
      <c r="AD227" s="29"/>
      <c r="AE227" s="78">
        <v>0</v>
      </c>
      <c r="AF227" s="49">
        <f>COS(AF225)</f>
        <v>0.99999950000004167</v>
      </c>
      <c r="AG227" s="49">
        <f>-SIN(AF225)</f>
        <v>-9.9999983333334168E-4</v>
      </c>
      <c r="AH227" s="79">
        <v>0</v>
      </c>
      <c r="AI227" s="80"/>
      <c r="AJ227" s="49">
        <v>0</v>
      </c>
      <c r="AK227" s="49">
        <v>1</v>
      </c>
      <c r="AL227" s="49">
        <v>0</v>
      </c>
      <c r="AM227" s="49">
        <v>0</v>
      </c>
      <c r="AN227" s="80"/>
      <c r="AO227" s="49">
        <f>SIN(AP225)</f>
        <v>9.9999983333334168E-4</v>
      </c>
      <c r="AP227" s="49">
        <f>AO226</f>
        <v>0.99999950000004167</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x14ac:dyDescent="0.25">
      <c r="A228" s="331"/>
      <c r="B228" s="41" t="s">
        <v>102</v>
      </c>
      <c r="C228" s="43">
        <v>0</v>
      </c>
      <c r="E228" s="46" t="s">
        <v>113</v>
      </c>
      <c r="F228" s="49">
        <v>3.1077889383896995E-3</v>
      </c>
      <c r="G228" s="132">
        <f>'CS_7 Bed'!G7</f>
        <v>0</v>
      </c>
      <c r="H228" s="132">
        <f>'CS_7 Bed'!H7</f>
        <v>0</v>
      </c>
      <c r="I228" s="132">
        <f>'CS_7 Bed'!I7</f>
        <v>8.2936875628008157E-6</v>
      </c>
      <c r="J228" s="132">
        <f>'CS_7 Bed'!J7</f>
        <v>5.1590121819218122E-8</v>
      </c>
      <c r="K228" s="132">
        <f>'CS_7 Bed'!K7</f>
        <v>0</v>
      </c>
      <c r="L228" s="132">
        <f>'CS_7 Bed'!L7</f>
        <v>0</v>
      </c>
      <c r="M228" s="29">
        <f t="shared" si="54"/>
        <v>0</v>
      </c>
      <c r="N228" s="46" t="s">
        <v>112</v>
      </c>
      <c r="O228" s="31">
        <f t="shared" ref="O228:O229" si="55">AW227</f>
        <v>0</v>
      </c>
      <c r="P228" s="31">
        <f t="shared" ref="P228:P229" si="56">BB227</f>
        <v>0</v>
      </c>
      <c r="Q228" s="31">
        <f t="shared" ref="Q228:Q229" si="57">BG227</f>
        <v>0</v>
      </c>
      <c r="AB228" t="s">
        <v>72</v>
      </c>
      <c r="AC228" s="29">
        <f>C213</f>
        <v>0</v>
      </c>
      <c r="AD228" s="29"/>
      <c r="AE228" s="78">
        <v>0</v>
      </c>
      <c r="AF228" s="49">
        <f>-AG227</f>
        <v>9.9999983333334168E-4</v>
      </c>
      <c r="AG228" s="49">
        <f>AF227</f>
        <v>0.99999950000004167</v>
      </c>
      <c r="AH228" s="79">
        <v>0</v>
      </c>
      <c r="AI228" s="80"/>
      <c r="AJ228" s="49">
        <f>-SIN(AK225)</f>
        <v>-9.9999983333334168E-4</v>
      </c>
      <c r="AK228" s="49">
        <v>0</v>
      </c>
      <c r="AL228" s="49">
        <f>COS(AK225)</f>
        <v>0.99999950000004167</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x14ac:dyDescent="0.25">
      <c r="A229" s="331"/>
      <c r="B229" s="41" t="s">
        <v>108</v>
      </c>
      <c r="C229" s="43">
        <v>1</v>
      </c>
      <c r="E229" s="4" t="s">
        <v>85</v>
      </c>
      <c r="F229" s="49">
        <v>1.1345896124279855E-5</v>
      </c>
      <c r="G229" s="132">
        <f>'CS_7 Bed'!G8</f>
        <v>0</v>
      </c>
      <c r="H229" s="132">
        <f>'CS_7 Bed'!H8</f>
        <v>0</v>
      </c>
      <c r="I229" s="132">
        <f>'CS_7 Bed'!I8</f>
        <v>5.1590121819218122E-8</v>
      </c>
      <c r="J229" s="132">
        <f>'CS_7 Bed'!J8</f>
        <v>1.8834488918127251E-10</v>
      </c>
      <c r="K229" s="132">
        <f>'CS_7 Bed'!K8</f>
        <v>0</v>
      </c>
      <c r="L229" s="132">
        <f>'CS_7 Bed'!L8</f>
        <v>0</v>
      </c>
      <c r="M229" s="29">
        <f>C230</f>
        <v>60240</v>
      </c>
      <c r="N229" s="46" t="s">
        <v>113</v>
      </c>
      <c r="O229" s="31">
        <f t="shared" si="55"/>
        <v>0</v>
      </c>
      <c r="P229" s="31">
        <f t="shared" si="56"/>
        <v>0</v>
      </c>
      <c r="Q229" s="31">
        <f t="shared" si="57"/>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x14ac:dyDescent="0.25">
      <c r="A230" s="331"/>
      <c r="B230" s="41" t="s">
        <v>103</v>
      </c>
      <c r="C230" s="43">
        <f t="array" ref="C230:C233">MMULT(O198:R201,E206:E209)</f>
        <v>60240</v>
      </c>
      <c r="E230" s="4" t="s">
        <v>86</v>
      </c>
      <c r="F230" s="49">
        <v>0</v>
      </c>
      <c r="G230" s="132">
        <f>'CS_7 Bed'!G9</f>
        <v>0</v>
      </c>
      <c r="H230" s="132">
        <f>'CS_7 Bed'!H9</f>
        <v>0</v>
      </c>
      <c r="I230" s="132">
        <f>'CS_7 Bed'!I9</f>
        <v>0</v>
      </c>
      <c r="J230" s="132">
        <f>'CS_7 Bed'!J9</f>
        <v>0</v>
      </c>
      <c r="K230" s="132">
        <f>'CS_7 Bed'!K9</f>
        <v>1.730202394053685E-10</v>
      </c>
      <c r="L230" s="132">
        <f>'CS_7 Bed'!L9</f>
        <v>0</v>
      </c>
      <c r="M230" s="29">
        <f>C231</f>
        <v>0</v>
      </c>
      <c r="O230" s="3" t="s">
        <v>82</v>
      </c>
      <c r="T230" s="3" t="s">
        <v>83</v>
      </c>
      <c r="AE230" t="s">
        <v>95</v>
      </c>
      <c r="AJ230" t="s">
        <v>94</v>
      </c>
      <c r="AO230" t="s">
        <v>96</v>
      </c>
    </row>
    <row r="231" spans="1:59" ht="15" customHeight="1" x14ac:dyDescent="0.25">
      <c r="A231" s="331"/>
      <c r="B231" s="41" t="s">
        <v>104</v>
      </c>
      <c r="C231" s="43">
        <v>0</v>
      </c>
      <c r="E231" s="4" t="s">
        <v>87</v>
      </c>
      <c r="F231" s="49">
        <v>0</v>
      </c>
      <c r="G231" s="132">
        <f>'CS_7 Bed'!G10</f>
        <v>-1.57975001196206E-8</v>
      </c>
      <c r="H231" s="132">
        <f>'CS_7 Bed'!H10</f>
        <v>0</v>
      </c>
      <c r="I231" s="132">
        <f>'CS_7 Bed'!I10</f>
        <v>0</v>
      </c>
      <c r="J231" s="132">
        <f>'CS_7 Bed'!J10</f>
        <v>0</v>
      </c>
      <c r="K231" s="132">
        <f>'CS_7 Bed'!K10</f>
        <v>0</v>
      </c>
      <c r="L231" s="132">
        <f>'CS_7 Bed'!L10</f>
        <v>0</v>
      </c>
      <c r="M231" s="29">
        <f>C232</f>
        <v>-30000</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x14ac:dyDescent="0.25">
      <c r="A232" s="331"/>
      <c r="B232" s="41" t="s">
        <v>105</v>
      </c>
      <c r="C232" s="43">
        <v>-30000</v>
      </c>
      <c r="G232" s="111"/>
      <c r="H232" s="111"/>
      <c r="I232" s="111"/>
      <c r="J232" s="125"/>
      <c r="K232" s="125"/>
      <c r="L232" s="125"/>
      <c r="M232" s="125"/>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x14ac:dyDescent="0.25">
      <c r="A233" s="331"/>
      <c r="B233" s="41" t="s">
        <v>108</v>
      </c>
      <c r="C233" s="43">
        <v>1</v>
      </c>
      <c r="G233" s="111"/>
      <c r="H233" s="111"/>
      <c r="I233" s="111"/>
      <c r="J233" s="125"/>
      <c r="K233" s="125"/>
      <c r="L233" s="125"/>
      <c r="M233" s="125"/>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2" customFormat="1" x14ac:dyDescent="0.25">
      <c r="A234" s="331"/>
      <c r="B234" s="77" t="s">
        <v>183</v>
      </c>
      <c r="C234"/>
      <c r="D234" s="89" t="s">
        <v>246</v>
      </c>
      <c r="E234"/>
      <c r="G234" s="127"/>
      <c r="H234" s="127"/>
      <c r="I234" s="127"/>
      <c r="J234" s="134"/>
      <c r="K234" s="134"/>
      <c r="L234" s="134"/>
      <c r="M234" s="134"/>
      <c r="O234" s="123">
        <v>0</v>
      </c>
      <c r="P234" s="123">
        <v>0</v>
      </c>
      <c r="Q234" s="123">
        <v>0</v>
      </c>
      <c r="R234" s="123">
        <v>1</v>
      </c>
      <c r="S234" s="124"/>
      <c r="T234" s="123">
        <v>0</v>
      </c>
      <c r="U234" s="123">
        <v>0</v>
      </c>
      <c r="V234" s="123">
        <v>0</v>
      </c>
      <c r="W234" s="123">
        <v>1</v>
      </c>
      <c r="X234" s="123"/>
      <c r="Y234" s="123"/>
      <c r="Z234" s="123"/>
      <c r="AA234" s="123"/>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2" customFormat="1" x14ac:dyDescent="0.25">
      <c r="A235" s="331"/>
      <c r="B235" s="41" t="s">
        <v>100</v>
      </c>
      <c r="C235" s="42">
        <v>0</v>
      </c>
      <c r="D235" s="41" t="s">
        <v>100</v>
      </c>
      <c r="E235" s="43">
        <f>C226+C235</f>
        <v>0</v>
      </c>
      <c r="F235" s="130"/>
      <c r="G235" s="134"/>
      <c r="H235" s="137"/>
      <c r="I235" s="134"/>
      <c r="J235" s="134"/>
      <c r="K235" s="134"/>
      <c r="L235" s="134"/>
      <c r="M235" s="134"/>
      <c r="O235" s="123"/>
      <c r="P235" s="123"/>
      <c r="Q235" s="123"/>
      <c r="R235" s="123"/>
      <c r="S235" s="124"/>
      <c r="T235" s="123"/>
      <c r="U235" s="123"/>
      <c r="V235" s="123"/>
      <c r="W235" s="123"/>
      <c r="X235" s="123"/>
      <c r="Y235" s="123"/>
      <c r="Z235" s="123"/>
      <c r="AA235" s="123"/>
      <c r="AC235" s="32"/>
      <c r="AD235" s="32"/>
      <c r="AE235" s="32"/>
      <c r="AF235" s="32"/>
      <c r="AG235" s="32"/>
      <c r="AH235" s="32"/>
      <c r="AJ235" s="32"/>
      <c r="AK235" s="32"/>
      <c r="AL235" s="32"/>
      <c r="AM235" s="32"/>
      <c r="AO235" s="32"/>
      <c r="AP235" s="32"/>
      <c r="AQ235" s="32"/>
      <c r="AR235" s="32"/>
    </row>
    <row r="236" spans="1:59" s="122" customFormat="1" x14ac:dyDescent="0.25">
      <c r="A236" s="331"/>
      <c r="B236" s="41" t="s">
        <v>101</v>
      </c>
      <c r="C236" s="42">
        <v>0</v>
      </c>
      <c r="D236" s="41" t="s">
        <v>101</v>
      </c>
      <c r="E236" s="43">
        <f>C227+C236</f>
        <v>-300</v>
      </c>
      <c r="F236" s="130"/>
      <c r="G236" s="134"/>
      <c r="H236" s="137"/>
      <c r="I236" s="134"/>
      <c r="J236" s="134"/>
      <c r="K236" s="134"/>
      <c r="L236" s="134"/>
      <c r="M236" s="134"/>
      <c r="O236" s="123"/>
      <c r="P236" s="123"/>
      <c r="Q236" s="123"/>
      <c r="R236" s="123"/>
      <c r="S236" s="124"/>
      <c r="T236" s="123"/>
      <c r="U236" s="123"/>
      <c r="V236" s="123"/>
      <c r="W236" s="123"/>
      <c r="X236" s="123"/>
      <c r="Y236" s="123"/>
      <c r="Z236" s="123"/>
      <c r="AA236" s="123"/>
      <c r="AC236" s="32"/>
      <c r="AD236" s="32"/>
      <c r="AE236" s="32"/>
      <c r="AF236" s="32"/>
      <c r="AG236" s="32"/>
      <c r="AH236" s="32"/>
      <c r="AJ236" s="32"/>
      <c r="AK236" s="32"/>
      <c r="AL236" s="32"/>
      <c r="AM236" s="32"/>
      <c r="AO236" s="32"/>
      <c r="AP236" s="32"/>
      <c r="AQ236" s="32"/>
      <c r="AR236" s="32"/>
    </row>
    <row r="237" spans="1:59" s="122" customFormat="1" x14ac:dyDescent="0.25">
      <c r="A237" s="331"/>
      <c r="B237" s="41" t="s">
        <v>102</v>
      </c>
      <c r="C237" s="42">
        <v>0</v>
      </c>
      <c r="D237" s="41" t="s">
        <v>102</v>
      </c>
      <c r="E237" s="43">
        <f>C228+C237</f>
        <v>0</v>
      </c>
      <c r="F237" s="130"/>
      <c r="G237" s="134"/>
      <c r="H237" s="137"/>
      <c r="I237" s="134"/>
      <c r="J237" s="134"/>
      <c r="K237" s="134"/>
      <c r="L237" s="134"/>
      <c r="M237" s="134"/>
      <c r="O237" s="123"/>
      <c r="P237" s="123"/>
      <c r="Q237" s="123"/>
      <c r="R237" s="123"/>
      <c r="S237" s="124"/>
      <c r="T237" s="123"/>
      <c r="U237" s="123"/>
      <c r="V237" s="123"/>
      <c r="W237" s="123"/>
      <c r="X237" s="123"/>
      <c r="Y237" s="123"/>
      <c r="Z237" s="123"/>
      <c r="AA237" s="123"/>
      <c r="AC237" s="32"/>
      <c r="AD237" s="32"/>
      <c r="AE237" s="32"/>
      <c r="AF237" s="32"/>
      <c r="AG237" s="32"/>
      <c r="AH237" s="32"/>
      <c r="AJ237" s="32"/>
      <c r="AK237" s="32"/>
      <c r="AL237" s="32"/>
      <c r="AM237" s="32"/>
      <c r="AO237" s="32"/>
      <c r="AP237" s="32"/>
      <c r="AQ237" s="32"/>
      <c r="AR237" s="32"/>
    </row>
    <row r="238" spans="1:59" s="122" customFormat="1" x14ac:dyDescent="0.25">
      <c r="A238" s="331"/>
      <c r="B238" s="130" t="s">
        <v>108</v>
      </c>
      <c r="C238" s="131">
        <v>1</v>
      </c>
      <c r="D238" s="130" t="s">
        <v>108</v>
      </c>
      <c r="E238" s="131">
        <v>1</v>
      </c>
      <c r="F238" s="130"/>
      <c r="G238" s="134"/>
      <c r="H238" s="137"/>
      <c r="I238" s="134"/>
      <c r="J238" s="134"/>
      <c r="K238" s="134"/>
      <c r="L238" s="134"/>
      <c r="M238" s="134"/>
      <c r="O238" s="123"/>
      <c r="P238" s="123"/>
      <c r="Q238" s="123"/>
      <c r="R238" s="123"/>
      <c r="S238" s="124"/>
      <c r="T238" s="123"/>
      <c r="U238" s="123"/>
      <c r="V238" s="123"/>
      <c r="W238" s="123"/>
      <c r="X238" s="123"/>
      <c r="Y238" s="123"/>
      <c r="Z238" s="123"/>
      <c r="AA238" s="123"/>
      <c r="AC238" s="32"/>
      <c r="AD238" s="32"/>
      <c r="AE238" s="32"/>
      <c r="AF238" s="32"/>
      <c r="AG238" s="32"/>
      <c r="AH238" s="32"/>
      <c r="AJ238" s="32"/>
      <c r="AK238" s="32"/>
      <c r="AL238" s="32"/>
      <c r="AM238" s="32"/>
      <c r="AO238" s="32"/>
      <c r="AP238" s="32"/>
      <c r="AQ238" s="32"/>
      <c r="AR238" s="32"/>
    </row>
    <row r="239" spans="1:59" s="122" customFormat="1" x14ac:dyDescent="0.25">
      <c r="A239" s="331"/>
      <c r="B239" s="41" t="s">
        <v>103</v>
      </c>
      <c r="C239" s="42">
        <v>0</v>
      </c>
      <c r="D239" s="41" t="s">
        <v>103</v>
      </c>
      <c r="E239" s="43">
        <f>C230+C239+C228*C186-C227*C187</f>
        <v>0</v>
      </c>
      <c r="F239" s="130"/>
      <c r="G239" s="134"/>
      <c r="H239" s="137"/>
      <c r="I239" s="134"/>
      <c r="J239" s="134"/>
      <c r="K239" s="134"/>
      <c r="L239" s="134"/>
      <c r="M239" s="134"/>
      <c r="O239" s="123"/>
      <c r="P239" s="123"/>
      <c r="Q239" s="123"/>
      <c r="R239" s="123"/>
      <c r="S239" s="124"/>
      <c r="T239" s="123"/>
      <c r="U239" s="123"/>
      <c r="V239" s="123"/>
      <c r="W239" s="123"/>
      <c r="X239" s="123"/>
      <c r="Y239" s="123"/>
      <c r="Z239" s="123"/>
      <c r="AA239" s="123"/>
      <c r="AC239" s="32"/>
      <c r="AD239" s="32"/>
      <c r="AE239" s="32"/>
      <c r="AF239" s="32"/>
      <c r="AG239" s="32"/>
      <c r="AH239" s="32"/>
      <c r="AJ239" s="32"/>
      <c r="AK239" s="32"/>
      <c r="AL239" s="32"/>
      <c r="AM239" s="32"/>
      <c r="AO239" s="32"/>
      <c r="AP239" s="32"/>
      <c r="AQ239" s="32"/>
      <c r="AR239" s="32"/>
    </row>
    <row r="240" spans="1:59" s="122" customFormat="1" x14ac:dyDescent="0.25">
      <c r="A240" s="331"/>
      <c r="B240" s="41" t="s">
        <v>104</v>
      </c>
      <c r="C240" s="42">
        <v>0</v>
      </c>
      <c r="D240" s="41" t="s">
        <v>104</v>
      </c>
      <c r="E240" s="43">
        <f>C231+C240+C226*C187-C228*C185</f>
        <v>0</v>
      </c>
      <c r="F240" s="130"/>
      <c r="G240" s="134"/>
      <c r="H240" s="137"/>
      <c r="I240" s="134"/>
      <c r="J240" s="134"/>
      <c r="K240" s="134"/>
      <c r="L240" s="134"/>
      <c r="M240" s="134"/>
      <c r="O240" s="123"/>
      <c r="P240" s="123"/>
      <c r="Q240" s="123"/>
      <c r="R240" s="123"/>
      <c r="S240" s="124"/>
      <c r="T240" s="123"/>
      <c r="U240" s="123"/>
      <c r="V240" s="123"/>
      <c r="W240" s="123"/>
      <c r="X240" s="123"/>
      <c r="Y240" s="123"/>
      <c r="Z240" s="123"/>
      <c r="AA240" s="123"/>
      <c r="AC240" s="32"/>
      <c r="AD240" s="32"/>
      <c r="AE240" s="32"/>
      <c r="AF240" s="32"/>
      <c r="AG240" s="32"/>
      <c r="AH240" s="32"/>
      <c r="AJ240" s="32"/>
      <c r="AK240" s="32"/>
      <c r="AL240" s="32"/>
      <c r="AM240" s="32"/>
      <c r="AO240" s="32"/>
      <c r="AP240" s="32"/>
      <c r="AQ240" s="32"/>
      <c r="AR240" s="32"/>
    </row>
    <row r="241" spans="1:44" s="122" customFormat="1" x14ac:dyDescent="0.25">
      <c r="A241" s="331"/>
      <c r="B241" s="41" t="s">
        <v>105</v>
      </c>
      <c r="C241" s="42">
        <v>0</v>
      </c>
      <c r="D241" s="41" t="s">
        <v>105</v>
      </c>
      <c r="E241" s="43">
        <f>C232+C241+C227*C185-C226*C186</f>
        <v>0</v>
      </c>
      <c r="F241" s="130"/>
      <c r="G241" s="134"/>
      <c r="H241" s="137"/>
      <c r="I241" s="134"/>
      <c r="J241" s="134"/>
      <c r="K241" s="134"/>
      <c r="L241" s="134"/>
      <c r="M241" s="134"/>
      <c r="O241" s="123"/>
      <c r="P241" s="123"/>
      <c r="Q241" s="123"/>
      <c r="R241" s="123"/>
      <c r="S241" s="124"/>
      <c r="T241" s="123"/>
      <c r="U241" s="123"/>
      <c r="V241" s="123"/>
      <c r="W241" s="123"/>
      <c r="X241" s="123"/>
      <c r="Y241" s="123"/>
      <c r="Z241" s="123"/>
      <c r="AA241" s="123"/>
      <c r="AC241" s="32"/>
      <c r="AD241" s="32"/>
      <c r="AE241" s="32"/>
      <c r="AF241" s="32"/>
      <c r="AG241" s="32"/>
      <c r="AH241" s="32"/>
      <c r="AJ241" s="32"/>
      <c r="AK241" s="32"/>
      <c r="AL241" s="32"/>
      <c r="AM241" s="32"/>
      <c r="AO241" s="32"/>
      <c r="AP241" s="32"/>
      <c r="AQ241" s="32"/>
      <c r="AR241" s="32"/>
    </row>
    <row r="242" spans="1:44" s="52" customFormat="1" ht="16.5" thickBot="1" x14ac:dyDescent="0.3">
      <c r="A242" s="332"/>
      <c r="B242" s="57" t="s">
        <v>108</v>
      </c>
      <c r="C242" s="58">
        <v>1</v>
      </c>
      <c r="D242" s="57" t="s">
        <v>108</v>
      </c>
      <c r="E242" s="58">
        <v>1</v>
      </c>
      <c r="F242" s="57"/>
      <c r="G242" s="135"/>
      <c r="H242" s="138"/>
      <c r="I242" s="135"/>
      <c r="J242" s="135"/>
      <c r="K242" s="135"/>
      <c r="L242" s="135"/>
      <c r="M242" s="135"/>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x14ac:dyDescent="0.25">
      <c r="A243" s="334" t="s">
        <v>330</v>
      </c>
      <c r="B243" s="68" t="s">
        <v>250</v>
      </c>
      <c r="E243" s="1" t="s">
        <v>147</v>
      </c>
    </row>
    <row r="244" spans="1:44" ht="15" customHeight="1" x14ac:dyDescent="0.25">
      <c r="A244" s="334"/>
      <c r="B244" s="12" t="s">
        <v>73</v>
      </c>
      <c r="C244" s="56">
        <f>C222</f>
        <v>0</v>
      </c>
      <c r="E244" s="319" t="s">
        <v>138</v>
      </c>
      <c r="F244" s="319"/>
      <c r="G244" s="319" t="s">
        <v>139</v>
      </c>
      <c r="H244" s="319"/>
      <c r="N244" s="34" t="s">
        <v>98</v>
      </c>
      <c r="O244" s="1"/>
      <c r="P244" s="67"/>
      <c r="Q244" s="1"/>
      <c r="R244" s="1"/>
      <c r="S244" s="34" t="s">
        <v>136</v>
      </c>
      <c r="Y244" s="94" t="s">
        <v>297</v>
      </c>
    </row>
    <row r="245" spans="1:44" ht="15" customHeight="1" x14ac:dyDescent="0.25">
      <c r="A245" s="334"/>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x14ac:dyDescent="0.25">
      <c r="A246" s="334"/>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0</v>
      </c>
      <c r="Z246" s="29">
        <f>F255*O260</f>
        <v>0</v>
      </c>
      <c r="AA246" s="29">
        <f>F256*P260</f>
        <v>0</v>
      </c>
      <c r="AB246" s="29">
        <f>F257*Q260</f>
        <v>0</v>
      </c>
    </row>
    <row r="247" spans="1:44" ht="15" customHeight="1" x14ac:dyDescent="0.25">
      <c r="A247" s="60">
        <v>8</v>
      </c>
      <c r="B247" s="1" t="s">
        <v>76</v>
      </c>
      <c r="E247" s="46" t="s">
        <v>113</v>
      </c>
      <c r="F247" s="48">
        <f>CS_8!B47</f>
        <v>5.0000000000000001E-3</v>
      </c>
      <c r="G247" s="46" t="s">
        <v>113</v>
      </c>
      <c r="H247" s="48">
        <f>CS_8!B54</f>
        <v>0</v>
      </c>
      <c r="N247" s="46" t="s">
        <v>112</v>
      </c>
      <c r="O247" s="50">
        <f t="shared" ref="O247:O248" si="58">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59">F253+F260</f>
        <v>-1.1591962905718702E-4</v>
      </c>
      <c r="Z247" s="29">
        <f>F255*O261</f>
        <v>0</v>
      </c>
      <c r="AA247" s="29">
        <f>F256*P261</f>
        <v>0</v>
      </c>
      <c r="AB247" s="29">
        <f>F257*Q261</f>
        <v>0</v>
      </c>
    </row>
    <row r="248" spans="1:44" ht="15" customHeight="1" x14ac:dyDescent="0.25">
      <c r="A248" s="43">
        <f>IF(A247&gt;Naxes,0,1)</f>
        <v>0</v>
      </c>
      <c r="B248" s="2" t="s">
        <v>177</v>
      </c>
      <c r="C248" s="37">
        <v>0</v>
      </c>
      <c r="E248" s="4" t="s">
        <v>85</v>
      </c>
      <c r="F248" s="48">
        <f>CS_8!B48</f>
        <v>1.0000000000000007E-4</v>
      </c>
      <c r="G248" s="4" t="s">
        <v>85</v>
      </c>
      <c r="H248" s="48">
        <f>CS_8!B55</f>
        <v>0</v>
      </c>
      <c r="N248" s="46" t="s">
        <v>113</v>
      </c>
      <c r="O248" s="50">
        <f t="shared" si="58"/>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59"/>
        <v>0</v>
      </c>
      <c r="Z248" s="29">
        <f>F255*O262</f>
        <v>0</v>
      </c>
      <c r="AA248" s="29">
        <f>F256*P262</f>
        <v>0</v>
      </c>
      <c r="AB248" s="29">
        <f>F257*Q262</f>
        <v>0</v>
      </c>
    </row>
    <row r="249" spans="1:44" ht="15" customHeight="1" x14ac:dyDescent="0.25">
      <c r="A249" s="336" t="s">
        <v>127</v>
      </c>
      <c r="B249" s="2" t="s">
        <v>179</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x14ac:dyDescent="0.25">
      <c r="A250" s="336"/>
      <c r="B250" s="2" t="s">
        <v>178</v>
      </c>
      <c r="C250" s="37">
        <v>0</v>
      </c>
      <c r="E250" s="4" t="s">
        <v>87</v>
      </c>
      <c r="F250" s="48">
        <f>CS_8!B50</f>
        <v>1.0000000000000007E-4</v>
      </c>
      <c r="G250" s="4" t="s">
        <v>87</v>
      </c>
      <c r="H250" s="48">
        <f>CS_8!B57</f>
        <v>0</v>
      </c>
      <c r="X250" s="6"/>
    </row>
    <row r="251" spans="1:44" ht="32.1" customHeight="1" x14ac:dyDescent="0.25">
      <c r="A251" s="336"/>
      <c r="B251" s="2" t="s">
        <v>245</v>
      </c>
      <c r="C251" s="37">
        <v>10</v>
      </c>
      <c r="E251" s="317" t="s">
        <v>303</v>
      </c>
      <c r="F251" s="317"/>
      <c r="G251" s="319" t="s">
        <v>251</v>
      </c>
      <c r="H251" s="319"/>
      <c r="I251" s="317" t="s">
        <v>306</v>
      </c>
      <c r="J251" s="317"/>
      <c r="K251" s="317" t="s">
        <v>304</v>
      </c>
      <c r="L251" s="317"/>
      <c r="N251" s="34" t="s">
        <v>99</v>
      </c>
      <c r="O251" s="1"/>
      <c r="P251" s="67"/>
      <c r="Q251" s="1"/>
      <c r="R251" s="1"/>
      <c r="S251" s="34" t="s">
        <v>137</v>
      </c>
      <c r="X251" s="6"/>
      <c r="Y251" s="94" t="s">
        <v>296</v>
      </c>
    </row>
    <row r="252" spans="1:44" ht="15" customHeight="1" x14ac:dyDescent="0.25">
      <c r="A252" s="336"/>
      <c r="B252" s="2" t="s">
        <v>77</v>
      </c>
      <c r="C252" s="38">
        <v>0</v>
      </c>
      <c r="E252" s="46" t="s">
        <v>84</v>
      </c>
      <c r="F252" s="49">
        <f>E268/IF(H252=0,1000000000000,H252)</f>
        <v>0</v>
      </c>
      <c r="G252" s="4" t="s">
        <v>117</v>
      </c>
      <c r="H252" s="29">
        <f>CS_8!B25</f>
        <v>6785.8401317539538</v>
      </c>
      <c r="I252" s="4" t="s">
        <v>85</v>
      </c>
      <c r="J252" s="49">
        <f>A281*F295</f>
        <v>0</v>
      </c>
      <c r="K252" s="4" t="s">
        <v>85</v>
      </c>
      <c r="L252" s="139">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x14ac:dyDescent="0.25">
      <c r="A253" s="330" t="s">
        <v>365</v>
      </c>
      <c r="B253" s="2" t="s">
        <v>107</v>
      </c>
      <c r="C253" s="37">
        <v>0</v>
      </c>
      <c r="E253" s="46" t="s">
        <v>112</v>
      </c>
      <c r="F253" s="49">
        <f t="shared" ref="F253:F254" si="60">E269/IF(H253=0,1000000000000,H253)</f>
        <v>-1.1591962905718702E-4</v>
      </c>
      <c r="G253" s="4" t="s">
        <v>118</v>
      </c>
      <c r="H253" s="29">
        <f>CS_8!B26</f>
        <v>2588000</v>
      </c>
      <c r="I253" s="4" t="s">
        <v>86</v>
      </c>
      <c r="J253" s="49">
        <f>A281*F296</f>
        <v>0</v>
      </c>
      <c r="K253" s="4" t="s">
        <v>86</v>
      </c>
      <c r="L253" s="139">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0</v>
      </c>
      <c r="Z253" s="29">
        <f t="array" ref="Z253:Z256">MMULT(T264:W267,Z246:Z249)</f>
        <v>0</v>
      </c>
      <c r="AA253" s="29">
        <f t="array" ref="AA253:AA256">MMULT(T264:W267,AA246:AA249)</f>
        <v>0</v>
      </c>
      <c r="AB253" s="29">
        <f t="array" ref="AB253:AB256">MMULT(T264:W267,AB246:AB249)</f>
        <v>0</v>
      </c>
    </row>
    <row r="254" spans="1:44" ht="15" customHeight="1" x14ac:dyDescent="0.25">
      <c r="A254" s="331"/>
      <c r="B254" s="34" t="s">
        <v>78</v>
      </c>
      <c r="E254" s="46" t="s">
        <v>113</v>
      </c>
      <c r="F254" s="49">
        <f t="shared" si="60"/>
        <v>0</v>
      </c>
      <c r="G254" s="4" t="s">
        <v>119</v>
      </c>
      <c r="H254" s="29">
        <f>CS_8!B27</f>
        <v>2588000</v>
      </c>
      <c r="I254" s="4" t="s">
        <v>87</v>
      </c>
      <c r="J254" s="49">
        <f>A281*F297</f>
        <v>0</v>
      </c>
      <c r="K254" s="4" t="s">
        <v>87</v>
      </c>
      <c r="L254" s="139">
        <v>0</v>
      </c>
      <c r="N254" s="46" t="s">
        <v>112</v>
      </c>
      <c r="O254" s="50">
        <f>H246</f>
        <v>0</v>
      </c>
      <c r="P254" s="50">
        <f>H248*O261</f>
        <v>0</v>
      </c>
      <c r="Q254" s="50">
        <f>H249*P261</f>
        <v>0</v>
      </c>
      <c r="R254" s="50">
        <f>H250*Q261</f>
        <v>0</v>
      </c>
      <c r="S254" s="46" t="s">
        <v>112</v>
      </c>
      <c r="T254" s="50">
        <v>0</v>
      </c>
      <c r="U254" s="50">
        <v>0</v>
      </c>
      <c r="V254" s="50">
        <v>0</v>
      </c>
      <c r="W254" s="50">
        <v>0</v>
      </c>
      <c r="X254" s="70" t="s">
        <v>112</v>
      </c>
      <c r="Y254" s="29">
        <v>-1.1591962905718702E-4</v>
      </c>
      <c r="Z254" s="29">
        <v>0</v>
      </c>
      <c r="AA254" s="29">
        <v>0</v>
      </c>
      <c r="AB254" s="29">
        <v>0</v>
      </c>
    </row>
    <row r="255" spans="1:44" ht="15" customHeight="1" x14ac:dyDescent="0.25">
      <c r="A255" s="331"/>
      <c r="B255" s="12" t="s">
        <v>79</v>
      </c>
      <c r="C255" s="31">
        <f>AC264+C251</f>
        <v>10</v>
      </c>
      <c r="E255" s="4" t="s">
        <v>85</v>
      </c>
      <c r="F255" s="49">
        <f>E272/IF(H255=0,1000000000000,H255)+L252</f>
        <v>0</v>
      </c>
      <c r="G255" s="46" t="s">
        <v>8</v>
      </c>
      <c r="H255" s="29">
        <f>CS_8!B29</f>
        <v>6874375000</v>
      </c>
      <c r="I255" s="4" t="s">
        <v>305</v>
      </c>
      <c r="J255" s="29">
        <v>1</v>
      </c>
      <c r="K255" s="4" t="s">
        <v>305</v>
      </c>
      <c r="L255" s="139">
        <v>1</v>
      </c>
      <c r="N255" s="46" t="s">
        <v>113</v>
      </c>
      <c r="O255" s="50">
        <f>H247</f>
        <v>0</v>
      </c>
      <c r="P255" s="50">
        <f>H248*O262</f>
        <v>0</v>
      </c>
      <c r="Q255" s="50">
        <f>H249*P262</f>
        <v>0</v>
      </c>
      <c r="R255" s="50">
        <f>H250*Q262</f>
        <v>0</v>
      </c>
      <c r="S255" s="46" t="s">
        <v>113</v>
      </c>
      <c r="T255" s="50">
        <v>0</v>
      </c>
      <c r="U255" s="50">
        <v>0</v>
      </c>
      <c r="V255" s="50">
        <v>0</v>
      </c>
      <c r="W255" s="50">
        <v>0</v>
      </c>
      <c r="X255" s="70" t="s">
        <v>113</v>
      </c>
      <c r="Y255" s="29">
        <v>0</v>
      </c>
      <c r="Z255" s="29">
        <v>0</v>
      </c>
      <c r="AA255" s="29">
        <v>0</v>
      </c>
      <c r="AB255" s="29">
        <v>0</v>
      </c>
    </row>
    <row r="256" spans="1:44" ht="15" customHeight="1" x14ac:dyDescent="0.25">
      <c r="A256" s="331"/>
      <c r="B256" s="12" t="s">
        <v>80</v>
      </c>
      <c r="C256" s="31">
        <f>AC265+C252</f>
        <v>0</v>
      </c>
      <c r="E256" s="4" t="s">
        <v>86</v>
      </c>
      <c r="F256" s="49">
        <f t="shared" ref="F256:F257" si="61">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x14ac:dyDescent="0.25">
      <c r="A257" s="331"/>
      <c r="B257" s="12" t="s">
        <v>81</v>
      </c>
      <c r="C257" s="31">
        <f>AC266+C253</f>
        <v>0</v>
      </c>
      <c r="E257" s="4" t="s">
        <v>87</v>
      </c>
      <c r="F257" s="49">
        <f t="shared" si="61"/>
        <v>0</v>
      </c>
      <c r="G257" s="46" t="s">
        <v>116</v>
      </c>
      <c r="H257" s="29">
        <f>CS_8!B31</f>
        <v>6604791666.666667</v>
      </c>
      <c r="AB257" s="5"/>
      <c r="AU257" s="5" t="s">
        <v>67</v>
      </c>
      <c r="AZ257" s="5" t="s">
        <v>92</v>
      </c>
      <c r="BE257" s="5" t="s">
        <v>97</v>
      </c>
      <c r="BJ257" s="5" t="s">
        <v>97</v>
      </c>
    </row>
    <row r="258" spans="1:62" ht="31.5" x14ac:dyDescent="0.25">
      <c r="A258" s="331"/>
      <c r="B258" s="69" t="s">
        <v>106</v>
      </c>
      <c r="E258" s="319" t="s">
        <v>294</v>
      </c>
      <c r="F258" s="333"/>
      <c r="G258" s="327" t="s">
        <v>293</v>
      </c>
      <c r="H258" s="328"/>
      <c r="I258" s="328"/>
      <c r="J258" s="328"/>
      <c r="K258" s="328"/>
      <c r="L258" s="329"/>
      <c r="M258" s="93" t="s">
        <v>295</v>
      </c>
      <c r="N258" s="84" t="s">
        <v>248</v>
      </c>
      <c r="AE258" s="45" t="s">
        <v>227</v>
      </c>
      <c r="AF258" s="91">
        <v>1E-3</v>
      </c>
      <c r="AG258" s="45"/>
      <c r="AH258" s="45"/>
      <c r="AI258" s="45"/>
      <c r="AJ258" s="45" t="s">
        <v>93</v>
      </c>
      <c r="AK258" s="92">
        <v>1E-3</v>
      </c>
      <c r="AL258" s="7"/>
      <c r="AM258" s="7"/>
      <c r="AN258" s="45"/>
      <c r="AO258" s="45" t="s">
        <v>226</v>
      </c>
      <c r="AP258" s="91">
        <v>1E-3</v>
      </c>
      <c r="AU258" s="7" t="s">
        <v>0</v>
      </c>
      <c r="AV258" s="7" t="s">
        <v>1</v>
      </c>
      <c r="AW258" s="7" t="s">
        <v>2</v>
      </c>
      <c r="AZ258" s="7" t="s">
        <v>0</v>
      </c>
      <c r="BA258" s="7" t="s">
        <v>1</v>
      </c>
      <c r="BB258" s="7" t="s">
        <v>2</v>
      </c>
      <c r="BE258" s="7" t="s">
        <v>0</v>
      </c>
      <c r="BF258" s="7" t="s">
        <v>1</v>
      </c>
      <c r="BG258" s="7" t="s">
        <v>2</v>
      </c>
    </row>
    <row r="259" spans="1:62" ht="15" customHeight="1" x14ac:dyDescent="0.25">
      <c r="A259" s="331"/>
      <c r="B259" s="41" t="s">
        <v>100</v>
      </c>
      <c r="C259" s="43">
        <f t="array" ref="C259:C262">MMULT(O231:R234,E235:E238)</f>
        <v>0</v>
      </c>
      <c r="E259" s="46" t="s">
        <v>84</v>
      </c>
      <c r="F259" s="49">
        <f t="array" ref="F259:F264">MMULT(G259:L264,M259:M264)</f>
        <v>0</v>
      </c>
      <c r="G259" s="132">
        <f>CS_8!G5</f>
        <v>0</v>
      </c>
      <c r="H259" s="132">
        <f>CS_8!H5</f>
        <v>0</v>
      </c>
      <c r="I259" s="132">
        <f>CS_8!I5</f>
        <v>0</v>
      </c>
      <c r="J259" s="132">
        <f>CS_8!J5</f>
        <v>0</v>
      </c>
      <c r="K259" s="132">
        <f>CS_8!K5</f>
        <v>0</v>
      </c>
      <c r="L259" s="132">
        <f>CS_8!L5</f>
        <v>0</v>
      </c>
      <c r="M259" s="29">
        <f>C259</f>
        <v>0</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0.99999950000004167</v>
      </c>
      <c r="AK259" s="49">
        <v>0</v>
      </c>
      <c r="AL259" s="49">
        <f>-AJ261</f>
        <v>9.9999983333334168E-4</v>
      </c>
      <c r="AM259" s="49">
        <v>0</v>
      </c>
      <c r="AN259" s="80"/>
      <c r="AO259" s="49">
        <f>COS(AP258)</f>
        <v>0.99999950000004167</v>
      </c>
      <c r="AP259" s="49">
        <f>-AO260</f>
        <v>-9.9999983333334168E-4</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x14ac:dyDescent="0.25">
      <c r="A260" s="331"/>
      <c r="B260" s="41" t="s">
        <v>101</v>
      </c>
      <c r="C260" s="43">
        <v>-300</v>
      </c>
      <c r="E260" s="46" t="s">
        <v>112</v>
      </c>
      <c r="F260" s="49">
        <v>0</v>
      </c>
      <c r="G260" s="132">
        <f>CS_8!G6</f>
        <v>0</v>
      </c>
      <c r="H260" s="132">
        <f>CS_8!H6</f>
        <v>0</v>
      </c>
      <c r="I260" s="132">
        <f>CS_8!I6</f>
        <v>0</v>
      </c>
      <c r="J260" s="132">
        <f>CS_8!J6</f>
        <v>0</v>
      </c>
      <c r="K260" s="132">
        <f>CS_8!K6</f>
        <v>0</v>
      </c>
      <c r="L260" s="132">
        <f>CS_8!L6</f>
        <v>0</v>
      </c>
      <c r="M260" s="29">
        <f t="shared" ref="M260:M261" si="62">C260</f>
        <v>-300</v>
      </c>
      <c r="N260" s="46" t="s">
        <v>84</v>
      </c>
      <c r="O260" s="31">
        <f>AW259</f>
        <v>0</v>
      </c>
      <c r="P260" s="31">
        <f>BB259</f>
        <v>0</v>
      </c>
      <c r="Q260" s="31">
        <f>BG259</f>
        <v>0</v>
      </c>
      <c r="AB260" t="s">
        <v>71</v>
      </c>
      <c r="AC260" s="29">
        <f>C245</f>
        <v>0</v>
      </c>
      <c r="AD260" s="29"/>
      <c r="AE260" s="78">
        <v>0</v>
      </c>
      <c r="AF260" s="49">
        <f>COS(AF258)</f>
        <v>0.99999950000004167</v>
      </c>
      <c r="AG260" s="49">
        <f>-SIN(AF258)</f>
        <v>-9.9999983333334168E-4</v>
      </c>
      <c r="AH260" s="79">
        <v>0</v>
      </c>
      <c r="AI260" s="80"/>
      <c r="AJ260" s="49">
        <v>0</v>
      </c>
      <c r="AK260" s="49">
        <v>1</v>
      </c>
      <c r="AL260" s="49">
        <v>0</v>
      </c>
      <c r="AM260" s="49">
        <v>0</v>
      </c>
      <c r="AN260" s="80"/>
      <c r="AO260" s="49">
        <f>SIN(AP258)</f>
        <v>9.9999983333334168E-4</v>
      </c>
      <c r="AP260" s="49">
        <f>AO259</f>
        <v>0.99999950000004167</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x14ac:dyDescent="0.25">
      <c r="A261" s="331"/>
      <c r="B261" s="41" t="s">
        <v>102</v>
      </c>
      <c r="C261" s="43">
        <v>0</v>
      </c>
      <c r="E261" s="46" t="s">
        <v>113</v>
      </c>
      <c r="F261" s="49">
        <v>0</v>
      </c>
      <c r="G261" s="132">
        <f>CS_8!G7</f>
        <v>0</v>
      </c>
      <c r="H261" s="132">
        <f>CS_8!H7</f>
        <v>0</v>
      </c>
      <c r="I261" s="132">
        <f>CS_8!I7</f>
        <v>0</v>
      </c>
      <c r="J261" s="132">
        <f>CS_8!J7</f>
        <v>0</v>
      </c>
      <c r="K261" s="132">
        <f>CS_8!K7</f>
        <v>0</v>
      </c>
      <c r="L261" s="132">
        <f>CS_8!L7</f>
        <v>0</v>
      </c>
      <c r="M261" s="29">
        <f t="shared" si="62"/>
        <v>0</v>
      </c>
      <c r="N261" s="46" t="s">
        <v>112</v>
      </c>
      <c r="O261" s="31">
        <f t="shared" ref="O261:O262" si="63">AW260</f>
        <v>0</v>
      </c>
      <c r="P261" s="31">
        <f t="shared" ref="P261:P262" si="64">BB260</f>
        <v>0</v>
      </c>
      <c r="Q261" s="31">
        <f t="shared" ref="Q261:Q262" si="65">BG260</f>
        <v>0</v>
      </c>
      <c r="AB261" t="s">
        <v>72</v>
      </c>
      <c r="AC261" s="29">
        <f>C246</f>
        <v>0</v>
      </c>
      <c r="AD261" s="29"/>
      <c r="AE261" s="78">
        <v>0</v>
      </c>
      <c r="AF261" s="49">
        <f>-AG260</f>
        <v>9.9999983333334168E-4</v>
      </c>
      <c r="AG261" s="49">
        <f>AF260</f>
        <v>0.99999950000004167</v>
      </c>
      <c r="AH261" s="79">
        <v>0</v>
      </c>
      <c r="AI261" s="80"/>
      <c r="AJ261" s="49">
        <f>-SIN(AK258)</f>
        <v>-9.9999983333334168E-4</v>
      </c>
      <c r="AK261" s="49">
        <v>0</v>
      </c>
      <c r="AL261" s="49">
        <f>COS(AK258)</f>
        <v>0.99999950000004167</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x14ac:dyDescent="0.25">
      <c r="A262" s="331"/>
      <c r="B262" s="41" t="s">
        <v>108</v>
      </c>
      <c r="C262" s="43">
        <v>1</v>
      </c>
      <c r="E262" s="4" t="s">
        <v>85</v>
      </c>
      <c r="F262" s="49">
        <v>0</v>
      </c>
      <c r="G262" s="132">
        <f>CS_8!G8</f>
        <v>0</v>
      </c>
      <c r="H262" s="132">
        <f>CS_8!H8</f>
        <v>0</v>
      </c>
      <c r="I262" s="132">
        <f>CS_8!I8</f>
        <v>0</v>
      </c>
      <c r="J262" s="132">
        <f>CS_8!J8</f>
        <v>0</v>
      </c>
      <c r="K262" s="132">
        <f>CS_8!K8</f>
        <v>0</v>
      </c>
      <c r="L262" s="132">
        <f>CS_8!L8</f>
        <v>0</v>
      </c>
      <c r="M262" s="29">
        <f>C263</f>
        <v>0</v>
      </c>
      <c r="N262" s="46" t="s">
        <v>113</v>
      </c>
      <c r="O262" s="31">
        <f t="shared" si="63"/>
        <v>0</v>
      </c>
      <c r="P262" s="31">
        <f t="shared" si="64"/>
        <v>0</v>
      </c>
      <c r="Q262" s="31">
        <f t="shared" si="65"/>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x14ac:dyDescent="0.25">
      <c r="A263" s="331"/>
      <c r="B263" s="41" t="s">
        <v>103</v>
      </c>
      <c r="C263" s="43">
        <f t="array" ref="C263:C266">MMULT(O231:R234,E239:E242)</f>
        <v>0</v>
      </c>
      <c r="E263" s="4" t="s">
        <v>86</v>
      </c>
      <c r="F263" s="49">
        <v>0</v>
      </c>
      <c r="G263" s="132">
        <f>CS_8!G9</f>
        <v>0</v>
      </c>
      <c r="H263" s="132">
        <f>CS_8!H9</f>
        <v>0</v>
      </c>
      <c r="I263" s="132">
        <f>CS_8!I9</f>
        <v>0</v>
      </c>
      <c r="J263" s="132">
        <f>CS_8!J9</f>
        <v>0</v>
      </c>
      <c r="K263" s="132">
        <f>CS_8!K9</f>
        <v>0</v>
      </c>
      <c r="L263" s="132">
        <f>CS_8!L9</f>
        <v>0</v>
      </c>
      <c r="M263" s="29">
        <f>C264</f>
        <v>0</v>
      </c>
      <c r="O263" s="3" t="s">
        <v>82</v>
      </c>
      <c r="T263" s="3" t="s">
        <v>83</v>
      </c>
      <c r="AE263" t="s">
        <v>95</v>
      </c>
      <c r="AJ263" t="s">
        <v>94</v>
      </c>
      <c r="AO263" t="s">
        <v>96</v>
      </c>
    </row>
    <row r="264" spans="1:62" ht="15" customHeight="1" x14ac:dyDescent="0.25">
      <c r="A264" s="331"/>
      <c r="B264" s="41" t="s">
        <v>104</v>
      </c>
      <c r="C264" s="43">
        <v>0</v>
      </c>
      <c r="E264" s="4" t="s">
        <v>87</v>
      </c>
      <c r="F264" s="49">
        <v>0</v>
      </c>
      <c r="G264" s="132">
        <f>CS_8!G10</f>
        <v>0</v>
      </c>
      <c r="H264" s="132">
        <f>CS_8!H10</f>
        <v>0</v>
      </c>
      <c r="I264" s="132">
        <f>CS_8!I10</f>
        <v>0</v>
      </c>
      <c r="J264" s="132">
        <f>CS_8!J10</f>
        <v>0</v>
      </c>
      <c r="K264" s="132">
        <f>CS_8!K10</f>
        <v>0</v>
      </c>
      <c r="L264" s="132">
        <f>CS_8!L10</f>
        <v>0</v>
      </c>
      <c r="M264" s="29">
        <f>C265</f>
        <v>0</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x14ac:dyDescent="0.25">
      <c r="A265" s="331"/>
      <c r="B265" s="41" t="s">
        <v>105</v>
      </c>
      <c r="C265" s="43">
        <v>0</v>
      </c>
      <c r="G265" s="111"/>
      <c r="H265" s="111"/>
      <c r="I265" s="111"/>
      <c r="J265" s="125"/>
      <c r="K265" s="125"/>
      <c r="L265" s="125"/>
      <c r="M265" s="125"/>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x14ac:dyDescent="0.25">
      <c r="A266" s="331"/>
      <c r="B266" s="41" t="s">
        <v>108</v>
      </c>
      <c r="C266" s="43">
        <v>1</v>
      </c>
      <c r="G266" s="111"/>
      <c r="H266" s="111"/>
      <c r="I266" s="111"/>
      <c r="J266" s="125"/>
      <c r="K266" s="125"/>
      <c r="L266" s="125"/>
      <c r="M266" s="125"/>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2" customFormat="1" x14ac:dyDescent="0.25">
      <c r="A267" s="331"/>
      <c r="B267" s="77" t="s">
        <v>183</v>
      </c>
      <c r="C267"/>
      <c r="D267" s="89" t="s">
        <v>246</v>
      </c>
      <c r="E267"/>
      <c r="G267" s="127"/>
      <c r="H267" s="127"/>
      <c r="I267" s="127"/>
      <c r="J267" s="134"/>
      <c r="K267" s="134"/>
      <c r="L267" s="134"/>
      <c r="M267" s="134"/>
      <c r="O267" s="123">
        <v>0</v>
      </c>
      <c r="P267" s="123">
        <v>0</v>
      </c>
      <c r="Q267" s="123">
        <v>0</v>
      </c>
      <c r="R267" s="123">
        <v>1</v>
      </c>
      <c r="S267" s="124"/>
      <c r="T267" s="123">
        <v>0</v>
      </c>
      <c r="U267" s="123">
        <v>0</v>
      </c>
      <c r="V267" s="123">
        <v>0</v>
      </c>
      <c r="W267" s="123">
        <v>1</v>
      </c>
      <c r="X267" s="123"/>
      <c r="Y267" s="123"/>
      <c r="Z267" s="123"/>
      <c r="AA267" s="123"/>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2" customFormat="1" x14ac:dyDescent="0.25">
      <c r="A268" s="331"/>
      <c r="B268" s="41" t="s">
        <v>100</v>
      </c>
      <c r="C268" s="42">
        <v>0</v>
      </c>
      <c r="D268" s="41" t="s">
        <v>100</v>
      </c>
      <c r="E268" s="43">
        <f>C259+C268</f>
        <v>0</v>
      </c>
      <c r="F268" s="130"/>
      <c r="G268" s="134"/>
      <c r="H268" s="137"/>
      <c r="I268" s="134"/>
      <c r="J268" s="134"/>
      <c r="K268" s="134"/>
      <c r="L268" s="134"/>
      <c r="M268" s="134"/>
      <c r="O268" s="123"/>
      <c r="P268" s="123"/>
      <c r="Q268" s="123"/>
      <c r="R268" s="123"/>
      <c r="S268" s="124"/>
      <c r="T268" s="123"/>
      <c r="U268" s="123"/>
      <c r="V268" s="123"/>
      <c r="W268" s="123"/>
      <c r="X268" s="123"/>
      <c r="Y268" s="123"/>
      <c r="Z268" s="123"/>
      <c r="AA268" s="123"/>
      <c r="AC268" s="32"/>
      <c r="AD268" s="32"/>
      <c r="AE268" s="32"/>
      <c r="AF268" s="32"/>
      <c r="AG268" s="32"/>
      <c r="AH268" s="32"/>
      <c r="AJ268" s="32"/>
      <c r="AK268" s="32"/>
      <c r="AL268" s="32"/>
      <c r="AM268" s="32"/>
      <c r="AO268" s="32"/>
      <c r="AP268" s="32"/>
      <c r="AQ268" s="32"/>
      <c r="AR268" s="32"/>
    </row>
    <row r="269" spans="1:62" s="122" customFormat="1" x14ac:dyDescent="0.25">
      <c r="A269" s="331"/>
      <c r="B269" s="41" t="s">
        <v>101</v>
      </c>
      <c r="C269" s="42">
        <v>0</v>
      </c>
      <c r="D269" s="41" t="s">
        <v>101</v>
      </c>
      <c r="E269" s="43">
        <f>C260+C269</f>
        <v>-300</v>
      </c>
      <c r="F269" s="130"/>
      <c r="G269" s="134"/>
      <c r="H269" s="137"/>
      <c r="I269" s="134"/>
      <c r="J269" s="134"/>
      <c r="K269" s="134"/>
      <c r="L269" s="134"/>
      <c r="M269" s="134"/>
      <c r="O269" s="123"/>
      <c r="P269" s="123"/>
      <c r="Q269" s="123"/>
      <c r="R269" s="123"/>
      <c r="S269" s="124"/>
      <c r="T269" s="123"/>
      <c r="U269" s="123"/>
      <c r="V269" s="123"/>
      <c r="W269" s="123"/>
      <c r="X269" s="123"/>
      <c r="Y269" s="123"/>
      <c r="Z269" s="123"/>
      <c r="AA269" s="123"/>
      <c r="AC269" s="32"/>
      <c r="AD269" s="32"/>
      <c r="AE269" s="32"/>
      <c r="AF269" s="32"/>
      <c r="AG269" s="32"/>
      <c r="AH269" s="32"/>
      <c r="AJ269" s="32"/>
      <c r="AK269" s="32"/>
      <c r="AL269" s="32"/>
      <c r="AM269" s="32"/>
      <c r="AO269" s="32"/>
      <c r="AP269" s="32"/>
      <c r="AQ269" s="32"/>
      <c r="AR269" s="32"/>
    </row>
    <row r="270" spans="1:62" s="122" customFormat="1" x14ac:dyDescent="0.25">
      <c r="A270" s="331"/>
      <c r="B270" s="41" t="s">
        <v>102</v>
      </c>
      <c r="C270" s="42">
        <v>0</v>
      </c>
      <c r="D270" s="41" t="s">
        <v>102</v>
      </c>
      <c r="E270" s="43">
        <f>C261+C270</f>
        <v>0</v>
      </c>
      <c r="F270" s="130"/>
      <c r="G270" s="134"/>
      <c r="H270" s="137"/>
      <c r="I270" s="134"/>
      <c r="J270" s="134"/>
      <c r="K270" s="134"/>
      <c r="L270" s="134"/>
      <c r="M270" s="134"/>
      <c r="O270" s="123"/>
      <c r="P270" s="123"/>
      <c r="Q270" s="123"/>
      <c r="R270" s="123"/>
      <c r="S270" s="124"/>
      <c r="T270" s="123"/>
      <c r="U270" s="123"/>
      <c r="V270" s="123"/>
      <c r="W270" s="123"/>
      <c r="X270" s="123"/>
      <c r="Y270" s="123"/>
      <c r="Z270" s="123"/>
      <c r="AA270" s="123"/>
      <c r="AC270" s="32"/>
      <c r="AD270" s="32"/>
      <c r="AE270" s="32"/>
      <c r="AF270" s="32"/>
      <c r="AG270" s="32"/>
      <c r="AH270" s="32"/>
      <c r="AJ270" s="32"/>
      <c r="AK270" s="32"/>
      <c r="AL270" s="32"/>
      <c r="AM270" s="32"/>
      <c r="AO270" s="32"/>
      <c r="AP270" s="32"/>
      <c r="AQ270" s="32"/>
      <c r="AR270" s="32"/>
    </row>
    <row r="271" spans="1:62" s="122" customFormat="1" x14ac:dyDescent="0.25">
      <c r="A271" s="331"/>
      <c r="B271" s="130" t="s">
        <v>108</v>
      </c>
      <c r="C271" s="131">
        <v>1</v>
      </c>
      <c r="D271" s="130" t="s">
        <v>108</v>
      </c>
      <c r="E271" s="131">
        <v>1</v>
      </c>
      <c r="F271" s="130"/>
      <c r="G271" s="134"/>
      <c r="H271" s="137"/>
      <c r="I271" s="134"/>
      <c r="J271" s="134"/>
      <c r="K271" s="134"/>
      <c r="L271" s="134"/>
      <c r="M271" s="134"/>
      <c r="O271" s="123"/>
      <c r="P271" s="123"/>
      <c r="Q271" s="123"/>
      <c r="R271" s="123"/>
      <c r="S271" s="124"/>
      <c r="T271" s="123"/>
      <c r="U271" s="123"/>
      <c r="V271" s="123"/>
      <c r="W271" s="123"/>
      <c r="X271" s="123"/>
      <c r="Y271" s="123"/>
      <c r="Z271" s="123"/>
      <c r="AA271" s="123"/>
      <c r="AC271" s="32"/>
      <c r="AD271" s="32"/>
      <c r="AE271" s="32"/>
      <c r="AF271" s="32"/>
      <c r="AG271" s="32"/>
      <c r="AH271" s="32"/>
      <c r="AJ271" s="32"/>
      <c r="AK271" s="32"/>
      <c r="AL271" s="32"/>
      <c r="AM271" s="32"/>
      <c r="AO271" s="32"/>
      <c r="AP271" s="32"/>
      <c r="AQ271" s="32"/>
      <c r="AR271" s="32"/>
    </row>
    <row r="272" spans="1:62" s="122" customFormat="1" x14ac:dyDescent="0.25">
      <c r="A272" s="331"/>
      <c r="B272" s="41" t="s">
        <v>103</v>
      </c>
      <c r="C272" s="42">
        <v>0</v>
      </c>
      <c r="D272" s="41" t="s">
        <v>103</v>
      </c>
      <c r="E272" s="43">
        <f>C263+C272+C261*C219-C260*C220</f>
        <v>0</v>
      </c>
      <c r="F272" s="130"/>
      <c r="G272" s="134"/>
      <c r="H272" s="137"/>
      <c r="I272" s="134"/>
      <c r="J272" s="134"/>
      <c r="K272" s="134"/>
      <c r="L272" s="134"/>
      <c r="M272" s="134"/>
      <c r="O272" s="123"/>
      <c r="P272" s="123"/>
      <c r="Q272" s="123"/>
      <c r="R272" s="123"/>
      <c r="S272" s="124"/>
      <c r="T272" s="123"/>
      <c r="U272" s="123"/>
      <c r="V272" s="123"/>
      <c r="W272" s="123"/>
      <c r="X272" s="123"/>
      <c r="Y272" s="123"/>
      <c r="Z272" s="123"/>
      <c r="AA272" s="123"/>
      <c r="AC272" s="32"/>
      <c r="AD272" s="32"/>
      <c r="AE272" s="32"/>
      <c r="AF272" s="32"/>
      <c r="AG272" s="32"/>
      <c r="AH272" s="32"/>
      <c r="AJ272" s="32"/>
      <c r="AK272" s="32"/>
      <c r="AL272" s="32"/>
      <c r="AM272" s="32"/>
      <c r="AO272" s="32"/>
      <c r="AP272" s="32"/>
      <c r="AQ272" s="32"/>
      <c r="AR272" s="32"/>
    </row>
    <row r="273" spans="1:44" s="122" customFormat="1" x14ac:dyDescent="0.25">
      <c r="A273" s="331"/>
      <c r="B273" s="41" t="s">
        <v>104</v>
      </c>
      <c r="C273" s="42">
        <v>0</v>
      </c>
      <c r="D273" s="41" t="s">
        <v>104</v>
      </c>
      <c r="E273" s="43">
        <f>C264+C273+C259*C220-C261*C218</f>
        <v>0</v>
      </c>
      <c r="F273" s="130"/>
      <c r="G273" s="134"/>
      <c r="H273" s="137"/>
      <c r="I273" s="134"/>
      <c r="J273" s="134"/>
      <c r="K273" s="134"/>
      <c r="L273" s="134"/>
      <c r="M273" s="134"/>
      <c r="O273" s="123"/>
      <c r="P273" s="123"/>
      <c r="Q273" s="123"/>
      <c r="R273" s="123"/>
      <c r="S273" s="124"/>
      <c r="T273" s="123"/>
      <c r="U273" s="123"/>
      <c r="V273" s="123"/>
      <c r="W273" s="123"/>
      <c r="X273" s="123"/>
      <c r="Y273" s="123"/>
      <c r="Z273" s="123"/>
      <c r="AA273" s="123"/>
      <c r="AC273" s="32"/>
      <c r="AD273" s="32"/>
      <c r="AE273" s="32"/>
      <c r="AF273" s="32"/>
      <c r="AG273" s="32"/>
      <c r="AH273" s="32"/>
      <c r="AJ273" s="32"/>
      <c r="AK273" s="32"/>
      <c r="AL273" s="32"/>
      <c r="AM273" s="32"/>
      <c r="AO273" s="32"/>
      <c r="AP273" s="32"/>
      <c r="AQ273" s="32"/>
      <c r="AR273" s="32"/>
    </row>
    <row r="274" spans="1:44" s="122" customFormat="1" x14ac:dyDescent="0.25">
      <c r="A274" s="331"/>
      <c r="B274" s="41" t="s">
        <v>105</v>
      </c>
      <c r="C274" s="42">
        <v>0</v>
      </c>
      <c r="D274" s="41" t="s">
        <v>105</v>
      </c>
      <c r="E274" s="43">
        <f>C265+C274+C260*C218-C259*C219</f>
        <v>0</v>
      </c>
      <c r="F274" s="130"/>
      <c r="G274" s="134"/>
      <c r="H274" s="137"/>
      <c r="I274" s="134"/>
      <c r="J274" s="134"/>
      <c r="K274" s="134"/>
      <c r="L274" s="134"/>
      <c r="M274" s="134"/>
      <c r="O274" s="123"/>
      <c r="P274" s="123"/>
      <c r="Q274" s="123"/>
      <c r="R274" s="123"/>
      <c r="S274" s="124"/>
      <c r="T274" s="123"/>
      <c r="U274" s="123"/>
      <c r="V274" s="123"/>
      <c r="W274" s="123"/>
      <c r="X274" s="123"/>
      <c r="Y274" s="123"/>
      <c r="Z274" s="123"/>
      <c r="AA274" s="123"/>
      <c r="AC274" s="32"/>
      <c r="AD274" s="32"/>
      <c r="AE274" s="32"/>
      <c r="AF274" s="32"/>
      <c r="AG274" s="32"/>
      <c r="AH274" s="32"/>
      <c r="AJ274" s="32"/>
      <c r="AK274" s="32"/>
      <c r="AL274" s="32"/>
      <c r="AM274" s="32"/>
      <c r="AO274" s="32"/>
      <c r="AP274" s="32"/>
      <c r="AQ274" s="32"/>
      <c r="AR274" s="32"/>
    </row>
    <row r="275" spans="1:44" s="52" customFormat="1" ht="16.5" thickBot="1" x14ac:dyDescent="0.3">
      <c r="A275" s="332"/>
      <c r="B275" s="57" t="s">
        <v>108</v>
      </c>
      <c r="C275" s="58">
        <v>1</v>
      </c>
      <c r="D275" s="57" t="s">
        <v>108</v>
      </c>
      <c r="E275" s="58">
        <v>1</v>
      </c>
      <c r="F275" s="57"/>
      <c r="G275" s="135"/>
      <c r="H275" s="138"/>
      <c r="I275" s="135"/>
      <c r="J275" s="135"/>
      <c r="K275" s="135"/>
      <c r="L275" s="135"/>
      <c r="M275" s="135"/>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x14ac:dyDescent="0.25">
      <c r="A276" s="334" t="s">
        <v>331</v>
      </c>
      <c r="B276" s="68" t="s">
        <v>250</v>
      </c>
      <c r="E276" s="1" t="s">
        <v>148</v>
      </c>
    </row>
    <row r="277" spans="1:44" ht="15" customHeight="1" x14ac:dyDescent="0.25">
      <c r="A277" s="334"/>
      <c r="B277" s="12" t="s">
        <v>73</v>
      </c>
      <c r="C277" s="56">
        <f>C255</f>
        <v>10</v>
      </c>
      <c r="E277" s="319" t="s">
        <v>138</v>
      </c>
      <c r="F277" s="319"/>
      <c r="G277" s="319" t="s">
        <v>139</v>
      </c>
      <c r="H277" s="319"/>
      <c r="N277" s="34" t="s">
        <v>98</v>
      </c>
      <c r="O277" s="1"/>
      <c r="P277" s="67"/>
      <c r="Q277" s="1"/>
      <c r="R277" s="1"/>
      <c r="S277" s="34" t="s">
        <v>136</v>
      </c>
      <c r="Y277" s="94" t="s">
        <v>297</v>
      </c>
    </row>
    <row r="278" spans="1:44" ht="15" customHeight="1" x14ac:dyDescent="0.25">
      <c r="A278" s="334"/>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x14ac:dyDescent="0.25">
      <c r="A279" s="334"/>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4.9999995323668622E-7</v>
      </c>
      <c r="R279" s="50">
        <f>ABS(F283*Q293)</f>
        <v>4.9999995823668582E-7</v>
      </c>
      <c r="S279" s="46" t="s">
        <v>84</v>
      </c>
      <c r="T279" s="49">
        <f t="array" ref="T279:W282">ABS(MMULT(T297:W300,O279:R282))</f>
        <v>5.0000000000000001E-3</v>
      </c>
      <c r="U279" s="49">
        <v>0</v>
      </c>
      <c r="V279" s="49">
        <v>4.9999995323668622E-7</v>
      </c>
      <c r="W279" s="49">
        <v>4.9999995823668582E-7</v>
      </c>
      <c r="X279" s="70" t="s">
        <v>84</v>
      </c>
      <c r="Y279" s="49">
        <f>F285+F292</f>
        <v>0</v>
      </c>
      <c r="Z279" s="29">
        <f>F288*O293</f>
        <v>0</v>
      </c>
      <c r="AA279" s="29">
        <f>F289*P293</f>
        <v>0</v>
      </c>
      <c r="AB279" s="29">
        <f>F290*Q293</f>
        <v>2.2710782571391571E-9</v>
      </c>
    </row>
    <row r="280" spans="1:44" ht="15" customHeight="1" x14ac:dyDescent="0.25">
      <c r="A280" s="60">
        <v>9</v>
      </c>
      <c r="B280" s="1" t="s">
        <v>76</v>
      </c>
      <c r="E280" s="46" t="s">
        <v>113</v>
      </c>
      <c r="F280" s="48">
        <f>CS_9!B47</f>
        <v>5.0000000000000001E-3</v>
      </c>
      <c r="G280" s="46" t="s">
        <v>113</v>
      </c>
      <c r="H280" s="48">
        <f>CS_9!B54</f>
        <v>0</v>
      </c>
      <c r="N280" s="46" t="s">
        <v>112</v>
      </c>
      <c r="O280" s="50">
        <f t="shared" ref="O280:O281" si="66">ABS(F279)</f>
        <v>5.0000000000000001E-3</v>
      </c>
      <c r="P280" s="50">
        <f>ABS(F281*O294)</f>
        <v>0</v>
      </c>
      <c r="Q280" s="50">
        <f>ABS(F282*P294)</f>
        <v>0</v>
      </c>
      <c r="R280" s="50">
        <f>ABS(F283*Q294)</f>
        <v>9.9999983333334233E-4</v>
      </c>
      <c r="S280" s="46" t="s">
        <v>112</v>
      </c>
      <c r="T280" s="49">
        <v>5.0000000000000001E-3</v>
      </c>
      <c r="U280" s="49">
        <v>0</v>
      </c>
      <c r="V280" s="49">
        <v>0</v>
      </c>
      <c r="W280" s="49">
        <v>9.9999983333334233E-4</v>
      </c>
      <c r="X280" s="70" t="s">
        <v>112</v>
      </c>
      <c r="Y280" s="49">
        <f t="shared" ref="Y280:Y281" si="67">F286+F293</f>
        <v>-1.1591962905718702E-4</v>
      </c>
      <c r="Z280" s="29">
        <f>F288*O294</f>
        <v>0</v>
      </c>
      <c r="AA280" s="29">
        <f>F289*P294</f>
        <v>0</v>
      </c>
      <c r="AB280" s="29">
        <f>F290*Q294</f>
        <v>-4.5421561366432576E-6</v>
      </c>
    </row>
    <row r="281" spans="1:44" ht="15" customHeight="1" x14ac:dyDescent="0.25">
      <c r="A281" s="43">
        <f>IF(A280&gt;Naxes,0,1)</f>
        <v>0</v>
      </c>
      <c r="B281" s="2" t="s">
        <v>177</v>
      </c>
      <c r="C281" s="37">
        <v>0</v>
      </c>
      <c r="E281" s="4" t="s">
        <v>85</v>
      </c>
      <c r="F281" s="48">
        <f>CS_9!B48</f>
        <v>1.0000000000000007E-4</v>
      </c>
      <c r="G281" s="4" t="s">
        <v>85</v>
      </c>
      <c r="H281" s="48">
        <f>CS_9!B55</f>
        <v>0</v>
      </c>
      <c r="N281" s="46" t="s">
        <v>113</v>
      </c>
      <c r="O281" s="50">
        <f t="shared" si="66"/>
        <v>5.0000000000000001E-3</v>
      </c>
      <c r="P281" s="50">
        <f>ABS(F281*O295)</f>
        <v>0</v>
      </c>
      <c r="Q281" s="50">
        <f>ABS(F282*P295)</f>
        <v>9.9999982333334411E-4</v>
      </c>
      <c r="R281" s="50">
        <f>ABS(F283*Q295)</f>
        <v>0</v>
      </c>
      <c r="S281" s="46" t="s">
        <v>113</v>
      </c>
      <c r="T281" s="49">
        <v>5.0000000000000001E-3</v>
      </c>
      <c r="U281" s="49">
        <v>0</v>
      </c>
      <c r="V281" s="49">
        <v>9.9999982333334411E-4</v>
      </c>
      <c r="W281" s="49">
        <v>0</v>
      </c>
      <c r="X281" s="70" t="s">
        <v>113</v>
      </c>
      <c r="Y281" s="49">
        <f t="shared" si="67"/>
        <v>0</v>
      </c>
      <c r="Z281" s="29">
        <f>F288*O295</f>
        <v>0</v>
      </c>
      <c r="AA281" s="29">
        <f>F289*P295</f>
        <v>0</v>
      </c>
      <c r="AB281" s="29">
        <f>F290*Q295</f>
        <v>0</v>
      </c>
    </row>
    <row r="282" spans="1:44" ht="15" customHeight="1" x14ac:dyDescent="0.25">
      <c r="A282" s="336" t="s">
        <v>127</v>
      </c>
      <c r="B282" s="2" t="s">
        <v>179</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x14ac:dyDescent="0.25">
      <c r="A283" s="336"/>
      <c r="B283" s="2" t="s">
        <v>178</v>
      </c>
      <c r="C283" s="37">
        <v>0</v>
      </c>
      <c r="E283" s="4" t="s">
        <v>87</v>
      </c>
      <c r="F283" s="48">
        <f>CS_9!B50</f>
        <v>1.0000000000000007E-4</v>
      </c>
      <c r="G283" s="4" t="s">
        <v>87</v>
      </c>
      <c r="H283" s="48">
        <f>CS_9!B57</f>
        <v>0</v>
      </c>
      <c r="X283" s="6"/>
    </row>
    <row r="284" spans="1:44" ht="33" customHeight="1" x14ac:dyDescent="0.25">
      <c r="A284" s="336"/>
      <c r="B284" s="2" t="s">
        <v>245</v>
      </c>
      <c r="C284" s="37">
        <v>10</v>
      </c>
      <c r="E284" s="317" t="s">
        <v>303</v>
      </c>
      <c r="F284" s="317"/>
      <c r="G284" s="319" t="s">
        <v>251</v>
      </c>
      <c r="H284" s="319"/>
      <c r="I284" s="317" t="s">
        <v>306</v>
      </c>
      <c r="J284" s="317"/>
      <c r="K284" s="317" t="s">
        <v>304</v>
      </c>
      <c r="L284" s="317"/>
      <c r="N284" s="34" t="s">
        <v>99</v>
      </c>
      <c r="O284" s="1"/>
      <c r="P284" s="67"/>
      <c r="Q284" s="1"/>
      <c r="R284" s="1"/>
      <c r="S284" s="34" t="s">
        <v>137</v>
      </c>
      <c r="X284" s="6"/>
      <c r="Y284" s="94" t="s">
        <v>296</v>
      </c>
    </row>
    <row r="285" spans="1:44" ht="15" customHeight="1" x14ac:dyDescent="0.25">
      <c r="A285" s="336"/>
      <c r="B285" s="2" t="s">
        <v>77</v>
      </c>
      <c r="C285" s="38">
        <v>0</v>
      </c>
      <c r="E285" s="46" t="s">
        <v>84</v>
      </c>
      <c r="F285" s="49">
        <f>E301/IF(H285=0,1000000000000,H285)</f>
        <v>0</v>
      </c>
      <c r="G285" s="4" t="s">
        <v>117</v>
      </c>
      <c r="H285" s="29">
        <f>CS_9!B25</f>
        <v>6785.8401317539538</v>
      </c>
      <c r="I285" s="4" t="s">
        <v>85</v>
      </c>
      <c r="J285" s="49">
        <f>A314*F328</f>
        <v>0</v>
      </c>
      <c r="K285" s="4" t="s">
        <v>85</v>
      </c>
      <c r="L285" s="139">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x14ac:dyDescent="0.25">
      <c r="A286" s="342" t="s">
        <v>135</v>
      </c>
      <c r="B286" s="2" t="s">
        <v>107</v>
      </c>
      <c r="C286" s="37">
        <v>0</v>
      </c>
      <c r="E286" s="46" t="s">
        <v>112</v>
      </c>
      <c r="F286" s="49">
        <f t="shared" ref="F286:F287" si="68">E302/IF(H286=0,1000000000000,H286)</f>
        <v>-1.1591962905718702E-4</v>
      </c>
      <c r="G286" s="4" t="s">
        <v>118</v>
      </c>
      <c r="H286" s="29">
        <f>CS_9!B26</f>
        <v>2588000</v>
      </c>
      <c r="I286" s="4" t="s">
        <v>86</v>
      </c>
      <c r="J286" s="49">
        <f>A314*F329</f>
        <v>0</v>
      </c>
      <c r="K286" s="4" t="s">
        <v>86</v>
      </c>
      <c r="L286" s="139">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0</v>
      </c>
      <c r="Z286" s="29">
        <f t="array" ref="Z286:Z289">MMULT(T297:W300,Z279:Z282)</f>
        <v>0</v>
      </c>
      <c r="AA286" s="29">
        <f t="array" ref="AA286:AA289">MMULT(T297:W300,AA279:AA282)</f>
        <v>0</v>
      </c>
      <c r="AB286" s="29">
        <f t="array" ref="AB286:AB289">MMULT(T297:W300,AB279:AB282)</f>
        <v>2.2710782571391571E-9</v>
      </c>
    </row>
    <row r="287" spans="1:44" ht="15" customHeight="1" x14ac:dyDescent="0.25">
      <c r="A287" s="342"/>
      <c r="B287" s="34" t="s">
        <v>78</v>
      </c>
      <c r="E287" s="46" t="s">
        <v>113</v>
      </c>
      <c r="F287" s="49">
        <f t="shared" si="68"/>
        <v>0</v>
      </c>
      <c r="G287" s="4" t="s">
        <v>119</v>
      </c>
      <c r="H287" s="29">
        <f>CS_9!B27</f>
        <v>2588000</v>
      </c>
      <c r="I287" s="4" t="s">
        <v>87</v>
      </c>
      <c r="J287" s="49">
        <f>A314*F330</f>
        <v>0</v>
      </c>
      <c r="K287" s="4" t="s">
        <v>87</v>
      </c>
      <c r="L287" s="139">
        <v>0</v>
      </c>
      <c r="N287" s="46" t="s">
        <v>112</v>
      </c>
      <c r="O287" s="50">
        <f>H279</f>
        <v>0</v>
      </c>
      <c r="P287" s="50">
        <f>H281*O294</f>
        <v>0</v>
      </c>
      <c r="Q287" s="50">
        <f>H282*P294</f>
        <v>0</v>
      </c>
      <c r="R287" s="50">
        <f>H283*Q294</f>
        <v>0</v>
      </c>
      <c r="S287" s="46" t="s">
        <v>112</v>
      </c>
      <c r="T287" s="50">
        <v>0</v>
      </c>
      <c r="U287" s="50">
        <v>0</v>
      </c>
      <c r="V287" s="50">
        <v>0</v>
      </c>
      <c r="W287" s="50">
        <v>0</v>
      </c>
      <c r="X287" s="70" t="s">
        <v>112</v>
      </c>
      <c r="Y287" s="29">
        <v>-1.1591962905718702E-4</v>
      </c>
      <c r="Z287" s="29">
        <v>0</v>
      </c>
      <c r="AA287" s="29">
        <v>0</v>
      </c>
      <c r="AB287" s="29">
        <v>-4.5421561366432576E-6</v>
      </c>
    </row>
    <row r="288" spans="1:44" ht="15" customHeight="1" x14ac:dyDescent="0.25">
      <c r="A288" s="342"/>
      <c r="B288" s="12" t="s">
        <v>79</v>
      </c>
      <c r="C288" s="31">
        <f>AC297+C284</f>
        <v>20</v>
      </c>
      <c r="E288" s="4" t="s">
        <v>85</v>
      </c>
      <c r="F288" s="49">
        <f>E305/IF(H288=0,1000000000000,H288)+L285</f>
        <v>0</v>
      </c>
      <c r="G288" s="46" t="s">
        <v>8</v>
      </c>
      <c r="H288" s="29">
        <f>CS_9!B29</f>
        <v>6874375000</v>
      </c>
      <c r="I288" s="4" t="s">
        <v>305</v>
      </c>
      <c r="J288" s="29">
        <v>1</v>
      </c>
      <c r="K288" s="4" t="s">
        <v>305</v>
      </c>
      <c r="L288" s="139">
        <v>1</v>
      </c>
      <c r="N288" s="46" t="s">
        <v>113</v>
      </c>
      <c r="O288" s="50">
        <f>H280</f>
        <v>0</v>
      </c>
      <c r="P288" s="50">
        <f>H281*O295</f>
        <v>0</v>
      </c>
      <c r="Q288" s="50">
        <f>H282*P295</f>
        <v>0</v>
      </c>
      <c r="R288" s="50">
        <f>H283*Q295</f>
        <v>0</v>
      </c>
      <c r="S288" s="46" t="s">
        <v>113</v>
      </c>
      <c r="T288" s="50">
        <v>0</v>
      </c>
      <c r="U288" s="50">
        <v>0</v>
      </c>
      <c r="V288" s="50">
        <v>0</v>
      </c>
      <c r="W288" s="50">
        <v>0</v>
      </c>
      <c r="X288" s="70" t="s">
        <v>113</v>
      </c>
      <c r="Y288" s="29">
        <v>0</v>
      </c>
      <c r="Z288" s="29">
        <v>0</v>
      </c>
      <c r="AA288" s="29">
        <v>0</v>
      </c>
      <c r="AB288" s="29">
        <v>0</v>
      </c>
    </row>
    <row r="289" spans="1:62" ht="15" customHeight="1" x14ac:dyDescent="0.25">
      <c r="A289" s="342"/>
      <c r="B289" s="12" t="s">
        <v>80</v>
      </c>
      <c r="C289" s="31">
        <f>AC298+C285</f>
        <v>0</v>
      </c>
      <c r="E289" s="4" t="s">
        <v>86</v>
      </c>
      <c r="F289" s="49">
        <f t="shared" ref="F289:F290" si="69">E306/IF(H289=0,1000000000000,H289)+L286</f>
        <v>0</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x14ac:dyDescent="0.25">
      <c r="A290" s="342"/>
      <c r="B290" s="12" t="s">
        <v>81</v>
      </c>
      <c r="C290" s="31">
        <f>AC299+C286</f>
        <v>0</v>
      </c>
      <c r="E290" s="4" t="s">
        <v>87</v>
      </c>
      <c r="F290" s="49">
        <f t="shared" si="69"/>
        <v>-4.5421568936693688E-7</v>
      </c>
      <c r="G290" s="46" t="s">
        <v>116</v>
      </c>
      <c r="H290" s="29">
        <f>CS_9!B31</f>
        <v>6604791666.666667</v>
      </c>
      <c r="AB290" s="5"/>
      <c r="AU290" s="5" t="s">
        <v>67</v>
      </c>
      <c r="AZ290" s="5" t="s">
        <v>92</v>
      </c>
      <c r="BE290" s="5" t="s">
        <v>97</v>
      </c>
      <c r="BJ290" s="5" t="s">
        <v>97</v>
      </c>
    </row>
    <row r="291" spans="1:62" ht="31.5" x14ac:dyDescent="0.25">
      <c r="A291" s="342"/>
      <c r="B291" s="69" t="s">
        <v>106</v>
      </c>
      <c r="E291" s="319" t="s">
        <v>294</v>
      </c>
      <c r="F291" s="333"/>
      <c r="G291" s="327" t="s">
        <v>293</v>
      </c>
      <c r="H291" s="328"/>
      <c r="I291" s="328"/>
      <c r="J291" s="328"/>
      <c r="K291" s="328"/>
      <c r="L291" s="329"/>
      <c r="M291" s="93" t="s">
        <v>295</v>
      </c>
      <c r="N291" s="84" t="s">
        <v>248</v>
      </c>
      <c r="AE291" s="45" t="s">
        <v>227</v>
      </c>
      <c r="AF291" s="91">
        <v>1E-3</v>
      </c>
      <c r="AG291" s="45"/>
      <c r="AH291" s="45"/>
      <c r="AI291" s="45"/>
      <c r="AJ291" s="45" t="s">
        <v>93</v>
      </c>
      <c r="AK291" s="92">
        <v>1E-3</v>
      </c>
      <c r="AL291" s="7"/>
      <c r="AM291" s="7"/>
      <c r="AN291" s="45"/>
      <c r="AO291" s="45" t="s">
        <v>226</v>
      </c>
      <c r="AP291" s="91">
        <v>1E-3</v>
      </c>
      <c r="AU291" s="7" t="s">
        <v>0</v>
      </c>
      <c r="AV291" s="7" t="s">
        <v>1</v>
      </c>
      <c r="AW291" s="7" t="s">
        <v>2</v>
      </c>
      <c r="AZ291" s="7" t="s">
        <v>0</v>
      </c>
      <c r="BA291" s="7" t="s">
        <v>1</v>
      </c>
      <c r="BB291" s="7" t="s">
        <v>2</v>
      </c>
      <c r="BE291" s="7" t="s">
        <v>0</v>
      </c>
      <c r="BF291" s="7" t="s">
        <v>1</v>
      </c>
      <c r="BG291" s="7" t="s">
        <v>2</v>
      </c>
    </row>
    <row r="292" spans="1:62" ht="15" customHeight="1" x14ac:dyDescent="0.25">
      <c r="A292" s="342"/>
      <c r="B292" s="41" t="s">
        <v>100</v>
      </c>
      <c r="C292" s="43">
        <f t="array" ref="C292:C295">MMULT(O264:R267,E268:E271)</f>
        <v>0</v>
      </c>
      <c r="E292" s="46" t="s">
        <v>84</v>
      </c>
      <c r="F292" s="49">
        <f t="array" ref="F292:F297">MMULT(G292:L297,M292:M297)</f>
        <v>0</v>
      </c>
      <c r="G292" s="132">
        <f>CS_9!G5</f>
        <v>0</v>
      </c>
      <c r="H292" s="132">
        <f>CS_9!H5</f>
        <v>0</v>
      </c>
      <c r="I292" s="132">
        <f>CS_9!I5</f>
        <v>0</v>
      </c>
      <c r="J292" s="132">
        <f>CS_9!J5</f>
        <v>0</v>
      </c>
      <c r="K292" s="132">
        <f>CS_9!K5</f>
        <v>0</v>
      </c>
      <c r="L292" s="132">
        <f>CS_9!L5</f>
        <v>0</v>
      </c>
      <c r="M292" s="29">
        <f>C292</f>
        <v>0</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0.99999950000004167</v>
      </c>
      <c r="AK292" s="49">
        <v>0</v>
      </c>
      <c r="AL292" s="49">
        <f>-AJ294</f>
        <v>9.9999983333334168E-4</v>
      </c>
      <c r="AM292" s="49">
        <v>0</v>
      </c>
      <c r="AN292" s="80"/>
      <c r="AO292" s="49">
        <f>COS(AP291)</f>
        <v>0.99999950000004167</v>
      </c>
      <c r="AP292" s="49">
        <f>-AO293</f>
        <v>-9.9999983333334168E-4</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9.9999950000004176</v>
      </c>
      <c r="BA292" s="49">
        <f>AZ292-$AC292</f>
        <v>-4.9999995823668542E-6</v>
      </c>
      <c r="BB292" s="49">
        <f>BA292/AK291</f>
        <v>-4.9999995823668542E-3</v>
      </c>
      <c r="BC292" s="80"/>
      <c r="BD292" s="29" t="s">
        <v>63</v>
      </c>
      <c r="BE292" s="49">
        <f t="array" ref="BE292:BE295">MMULT(AO292:AR295,$AC292:$AC295)</f>
        <v>9.9999950000004176</v>
      </c>
      <c r="BF292" s="49">
        <f>BE292-$AC292</f>
        <v>-4.9999995823668542E-6</v>
      </c>
      <c r="BG292" s="49">
        <f>BF292/AP291</f>
        <v>-4.9999995823668542E-3</v>
      </c>
    </row>
    <row r="293" spans="1:62" x14ac:dyDescent="0.25">
      <c r="A293" s="342"/>
      <c r="B293" s="41" t="s">
        <v>101</v>
      </c>
      <c r="C293" s="43">
        <v>-300</v>
      </c>
      <c r="E293" s="46" t="s">
        <v>112</v>
      </c>
      <c r="F293" s="49">
        <v>0</v>
      </c>
      <c r="G293" s="132">
        <f>CS_9!G6</f>
        <v>0</v>
      </c>
      <c r="H293" s="132">
        <f>CS_9!H6</f>
        <v>0</v>
      </c>
      <c r="I293" s="132">
        <f>CS_9!I6</f>
        <v>0</v>
      </c>
      <c r="J293" s="132">
        <f>CS_9!J6</f>
        <v>0</v>
      </c>
      <c r="K293" s="132">
        <f>CS_9!K6</f>
        <v>0</v>
      </c>
      <c r="L293" s="132">
        <f>CS_9!L6</f>
        <v>0</v>
      </c>
      <c r="M293" s="29">
        <f t="shared" ref="M293:M294" si="70">C293</f>
        <v>-300</v>
      </c>
      <c r="N293" s="46" t="s">
        <v>84</v>
      </c>
      <c r="O293" s="31">
        <f>AW292</f>
        <v>0</v>
      </c>
      <c r="P293" s="31">
        <f>BB292</f>
        <v>-4.9999995823668542E-3</v>
      </c>
      <c r="Q293" s="31">
        <f>BG292</f>
        <v>-4.9999995823668542E-3</v>
      </c>
      <c r="AB293" t="s">
        <v>71</v>
      </c>
      <c r="AC293" s="29">
        <f>C278</f>
        <v>0</v>
      </c>
      <c r="AD293" s="29"/>
      <c r="AE293" s="78">
        <v>0</v>
      </c>
      <c r="AF293" s="49">
        <f>COS(AF291)</f>
        <v>0.99999950000004167</v>
      </c>
      <c r="AG293" s="49">
        <f>-SIN(AF291)</f>
        <v>-9.9999983333334168E-4</v>
      </c>
      <c r="AH293" s="79">
        <v>0</v>
      </c>
      <c r="AI293" s="80"/>
      <c r="AJ293" s="49">
        <v>0</v>
      </c>
      <c r="AK293" s="49">
        <v>1</v>
      </c>
      <c r="AL293" s="49">
        <v>0</v>
      </c>
      <c r="AM293" s="49">
        <v>0</v>
      </c>
      <c r="AN293" s="80"/>
      <c r="AO293" s="49">
        <f>SIN(AP291)</f>
        <v>9.9999983333334168E-4</v>
      </c>
      <c r="AP293" s="49">
        <f>AO292</f>
        <v>0.99999950000004167</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9.999998333333416E-3</v>
      </c>
      <c r="BF293" s="49">
        <f>BE293-$AC293</f>
        <v>9.999998333333416E-3</v>
      </c>
      <c r="BG293" s="49">
        <f>BF293/AP291</f>
        <v>9.9999983333334157</v>
      </c>
    </row>
    <row r="294" spans="1:62" x14ac:dyDescent="0.25">
      <c r="A294" s="342"/>
      <c r="B294" s="41" t="s">
        <v>102</v>
      </c>
      <c r="C294" s="43">
        <v>0</v>
      </c>
      <c r="E294" s="46" t="s">
        <v>113</v>
      </c>
      <c r="F294" s="49">
        <v>0</v>
      </c>
      <c r="G294" s="132">
        <f>CS_9!G7</f>
        <v>0</v>
      </c>
      <c r="H294" s="132">
        <f>CS_9!H7</f>
        <v>0</v>
      </c>
      <c r="I294" s="132">
        <f>CS_9!I7</f>
        <v>0</v>
      </c>
      <c r="J294" s="132">
        <f>CS_9!J7</f>
        <v>0</v>
      </c>
      <c r="K294" s="132">
        <f>CS_9!K7</f>
        <v>0</v>
      </c>
      <c r="L294" s="132">
        <f>CS_9!L7</f>
        <v>0</v>
      </c>
      <c r="M294" s="29">
        <f t="shared" si="70"/>
        <v>0</v>
      </c>
      <c r="N294" s="46" t="s">
        <v>112</v>
      </c>
      <c r="O294" s="31">
        <f t="shared" ref="O294:O295" si="71">AW293</f>
        <v>0</v>
      </c>
      <c r="P294" s="31">
        <f t="shared" ref="P294:P295" si="72">BB293</f>
        <v>0</v>
      </c>
      <c r="Q294" s="31">
        <f t="shared" ref="Q294:Q295" si="73">BG293</f>
        <v>9.9999983333334157</v>
      </c>
      <c r="AB294" t="s">
        <v>72</v>
      </c>
      <c r="AC294" s="29">
        <f>C279</f>
        <v>0</v>
      </c>
      <c r="AD294" s="29"/>
      <c r="AE294" s="78">
        <v>0</v>
      </c>
      <c r="AF294" s="49">
        <f>-AG293</f>
        <v>9.9999983333334168E-4</v>
      </c>
      <c r="AG294" s="49">
        <f>AF293</f>
        <v>0.99999950000004167</v>
      </c>
      <c r="AH294" s="79">
        <v>0</v>
      </c>
      <c r="AI294" s="80"/>
      <c r="AJ294" s="49">
        <f>-SIN(AK291)</f>
        <v>-9.9999983333334168E-4</v>
      </c>
      <c r="AK294" s="49">
        <v>0</v>
      </c>
      <c r="AL294" s="49">
        <f>COS(AK291)</f>
        <v>0.99999950000004167</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-9.999998333333416E-3</v>
      </c>
      <c r="BA294" s="49">
        <f>AZ294-$AC294</f>
        <v>-9.999998333333416E-3</v>
      </c>
      <c r="BB294" s="49">
        <f>BA294/AK291</f>
        <v>-9.9999983333334157</v>
      </c>
      <c r="BC294" s="80"/>
      <c r="BD294" s="29" t="s">
        <v>65</v>
      </c>
      <c r="BE294" s="49">
        <v>0</v>
      </c>
      <c r="BF294" s="49">
        <f>BE294-$AC294</f>
        <v>0</v>
      </c>
      <c r="BG294" s="49">
        <f>BF294/AP291</f>
        <v>0</v>
      </c>
    </row>
    <row r="295" spans="1:62" ht="15" customHeight="1" x14ac:dyDescent="0.25">
      <c r="A295" s="342"/>
      <c r="B295" s="41" t="s">
        <v>108</v>
      </c>
      <c r="C295" s="43">
        <v>1</v>
      </c>
      <c r="E295" s="4" t="s">
        <v>85</v>
      </c>
      <c r="F295" s="49">
        <v>0</v>
      </c>
      <c r="G295" s="132">
        <f>CS_9!G8</f>
        <v>0</v>
      </c>
      <c r="H295" s="132">
        <f>CS_9!H8</f>
        <v>0</v>
      </c>
      <c r="I295" s="132">
        <f>CS_9!I8</f>
        <v>0</v>
      </c>
      <c r="J295" s="132">
        <f>CS_9!J8</f>
        <v>0</v>
      </c>
      <c r="K295" s="132">
        <f>CS_9!K8</f>
        <v>0</v>
      </c>
      <c r="L295" s="132">
        <f>CS_9!L8</f>
        <v>0</v>
      </c>
      <c r="M295" s="29">
        <f>C296</f>
        <v>0</v>
      </c>
      <c r="N295" s="46" t="s">
        <v>113</v>
      </c>
      <c r="O295" s="31">
        <f t="shared" si="71"/>
        <v>0</v>
      </c>
      <c r="P295" s="31">
        <f t="shared" si="72"/>
        <v>-9.9999983333334157</v>
      </c>
      <c r="Q295" s="31">
        <f t="shared" si="73"/>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x14ac:dyDescent="0.25">
      <c r="A296" s="342"/>
      <c r="B296" s="41" t="s">
        <v>103</v>
      </c>
      <c r="C296" s="43">
        <f t="array" ref="C296:C299">MMULT(O264:R267,E272:E275)</f>
        <v>0</v>
      </c>
      <c r="E296" s="4" t="s">
        <v>86</v>
      </c>
      <c r="F296" s="49">
        <v>0</v>
      </c>
      <c r="G296" s="132">
        <f>CS_9!G9</f>
        <v>0</v>
      </c>
      <c r="H296" s="132">
        <f>CS_9!H9</f>
        <v>0</v>
      </c>
      <c r="I296" s="132">
        <f>CS_9!I9</f>
        <v>0</v>
      </c>
      <c r="J296" s="132">
        <f>CS_9!J9</f>
        <v>0</v>
      </c>
      <c r="K296" s="132">
        <f>CS_9!K9</f>
        <v>0</v>
      </c>
      <c r="L296" s="132">
        <f>CS_9!L9</f>
        <v>0</v>
      </c>
      <c r="M296" s="29">
        <f>C297</f>
        <v>0</v>
      </c>
      <c r="O296" s="3" t="s">
        <v>82</v>
      </c>
      <c r="T296" s="3" t="s">
        <v>83</v>
      </c>
      <c r="AE296" t="s">
        <v>95</v>
      </c>
      <c r="AJ296" t="s">
        <v>94</v>
      </c>
      <c r="AO296" t="s">
        <v>96</v>
      </c>
    </row>
    <row r="297" spans="1:62" ht="15" customHeight="1" x14ac:dyDescent="0.25">
      <c r="A297" s="342"/>
      <c r="B297" s="41" t="s">
        <v>104</v>
      </c>
      <c r="C297" s="43">
        <v>0</v>
      </c>
      <c r="E297" s="4" t="s">
        <v>87</v>
      </c>
      <c r="F297" s="49">
        <v>0</v>
      </c>
      <c r="G297" s="132">
        <f>CS_9!G10</f>
        <v>0</v>
      </c>
      <c r="H297" s="132">
        <f>CS_9!H10</f>
        <v>0</v>
      </c>
      <c r="I297" s="132">
        <f>CS_9!I10</f>
        <v>0</v>
      </c>
      <c r="J297" s="132">
        <f>CS_9!J10</f>
        <v>0</v>
      </c>
      <c r="K297" s="132">
        <f>CS_9!K10</f>
        <v>0</v>
      </c>
      <c r="L297" s="132">
        <f>CS_9!L10</f>
        <v>0</v>
      </c>
      <c r="M297" s="29">
        <f>C298</f>
        <v>0</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x14ac:dyDescent="0.25">
      <c r="A298" s="342"/>
      <c r="B298" s="41" t="s">
        <v>105</v>
      </c>
      <c r="C298" s="43">
        <v>0</v>
      </c>
      <c r="G298" s="111"/>
      <c r="H298" s="111"/>
      <c r="I298" s="111"/>
      <c r="J298" s="125"/>
      <c r="K298" s="125"/>
      <c r="L298" s="125"/>
      <c r="M298" s="125"/>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x14ac:dyDescent="0.25">
      <c r="A299" s="342"/>
      <c r="B299" s="41" t="s">
        <v>108</v>
      </c>
      <c r="C299" s="43">
        <v>1</v>
      </c>
      <c r="G299" s="111"/>
      <c r="H299" s="111"/>
      <c r="I299" s="111"/>
      <c r="J299" s="125"/>
      <c r="K299" s="125"/>
      <c r="L299" s="125"/>
      <c r="M299" s="125"/>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2" customFormat="1" ht="16.5" thickBot="1" x14ac:dyDescent="0.3">
      <c r="A300" s="343"/>
      <c r="B300" s="77" t="s">
        <v>183</v>
      </c>
      <c r="C300"/>
      <c r="D300" s="89" t="s">
        <v>246</v>
      </c>
      <c r="E300"/>
      <c r="G300" s="127"/>
      <c r="H300" s="127"/>
      <c r="I300" s="127"/>
      <c r="J300" s="134"/>
      <c r="K300" s="134"/>
      <c r="L300" s="134"/>
      <c r="M300" s="134"/>
      <c r="O300" s="123">
        <v>0</v>
      </c>
      <c r="P300" s="123">
        <v>0</v>
      </c>
      <c r="Q300" s="123">
        <v>0</v>
      </c>
      <c r="R300" s="123">
        <v>1</v>
      </c>
      <c r="S300" s="124"/>
      <c r="T300" s="123">
        <v>0</v>
      </c>
      <c r="U300" s="123">
        <v>0</v>
      </c>
      <c r="V300" s="123">
        <v>0</v>
      </c>
      <c r="W300" s="123">
        <v>1</v>
      </c>
      <c r="X300" s="123"/>
      <c r="Y300" s="123"/>
      <c r="Z300" s="123"/>
      <c r="AA300" s="123"/>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2" customFormat="1" x14ac:dyDescent="0.25">
      <c r="A301" s="120"/>
      <c r="B301" s="41" t="s">
        <v>100</v>
      </c>
      <c r="C301" s="42">
        <v>0</v>
      </c>
      <c r="D301" s="41" t="s">
        <v>100</v>
      </c>
      <c r="E301" s="43">
        <f>C292+C301</f>
        <v>0</v>
      </c>
      <c r="F301" s="130"/>
      <c r="G301" s="134"/>
      <c r="H301" s="137"/>
      <c r="I301" s="134"/>
      <c r="J301" s="134"/>
      <c r="K301" s="134"/>
      <c r="L301" s="134"/>
      <c r="M301" s="134"/>
      <c r="O301" s="123"/>
      <c r="P301" s="123"/>
      <c r="Q301" s="123"/>
      <c r="R301" s="123"/>
      <c r="S301" s="124"/>
      <c r="T301" s="123"/>
      <c r="U301" s="123"/>
      <c r="V301" s="123"/>
      <c r="W301" s="123"/>
      <c r="X301" s="123"/>
      <c r="Y301" s="123"/>
      <c r="Z301" s="123"/>
      <c r="AA301" s="123"/>
      <c r="AC301" s="32"/>
      <c r="AD301" s="32"/>
      <c r="AE301" s="32"/>
      <c r="AF301" s="32"/>
      <c r="AG301" s="32"/>
      <c r="AH301" s="32"/>
      <c r="AJ301" s="32"/>
      <c r="AK301" s="32"/>
      <c r="AL301" s="32"/>
      <c r="AM301" s="32"/>
      <c r="AO301" s="32"/>
      <c r="AP301" s="32"/>
      <c r="AQ301" s="32"/>
      <c r="AR301" s="32"/>
    </row>
    <row r="302" spans="1:62" s="122" customFormat="1" x14ac:dyDescent="0.25">
      <c r="A302" s="120"/>
      <c r="B302" s="41" t="s">
        <v>101</v>
      </c>
      <c r="C302" s="42">
        <v>0</v>
      </c>
      <c r="D302" s="41" t="s">
        <v>101</v>
      </c>
      <c r="E302" s="43">
        <f>C293+C302</f>
        <v>-300</v>
      </c>
      <c r="F302" s="130"/>
      <c r="G302" s="134"/>
      <c r="H302" s="137"/>
      <c r="I302" s="134"/>
      <c r="J302" s="134"/>
      <c r="K302" s="134"/>
      <c r="L302" s="134"/>
      <c r="M302" s="134"/>
      <c r="O302" s="123"/>
      <c r="P302" s="123"/>
      <c r="Q302" s="123"/>
      <c r="R302" s="123"/>
      <c r="S302" s="124"/>
      <c r="T302" s="123"/>
      <c r="U302" s="123"/>
      <c r="V302" s="123"/>
      <c r="W302" s="123"/>
      <c r="X302" s="123"/>
      <c r="Y302" s="123"/>
      <c r="Z302" s="123"/>
      <c r="AA302" s="123"/>
      <c r="AC302" s="32"/>
      <c r="AD302" s="32"/>
      <c r="AE302" s="32"/>
      <c r="AF302" s="32"/>
      <c r="AG302" s="32"/>
      <c r="AH302" s="32"/>
      <c r="AJ302" s="32"/>
      <c r="AK302" s="32"/>
      <c r="AL302" s="32"/>
      <c r="AM302" s="32"/>
      <c r="AO302" s="32"/>
      <c r="AP302" s="32"/>
      <c r="AQ302" s="32"/>
      <c r="AR302" s="32"/>
    </row>
    <row r="303" spans="1:62" s="122" customFormat="1" x14ac:dyDescent="0.25">
      <c r="A303" s="120"/>
      <c r="B303" s="41" t="s">
        <v>102</v>
      </c>
      <c r="C303" s="42">
        <v>0</v>
      </c>
      <c r="D303" s="41" t="s">
        <v>102</v>
      </c>
      <c r="E303" s="43">
        <f>C294+C303</f>
        <v>0</v>
      </c>
      <c r="F303" s="130"/>
      <c r="G303" s="134"/>
      <c r="H303" s="137"/>
      <c r="I303" s="134"/>
      <c r="J303" s="134"/>
      <c r="K303" s="134"/>
      <c r="L303" s="134"/>
      <c r="M303" s="134"/>
      <c r="O303" s="123"/>
      <c r="P303" s="123"/>
      <c r="Q303" s="123"/>
      <c r="R303" s="123"/>
      <c r="S303" s="124"/>
      <c r="T303" s="123"/>
      <c r="U303" s="123"/>
      <c r="V303" s="123"/>
      <c r="W303" s="123"/>
      <c r="X303" s="123"/>
      <c r="Y303" s="123"/>
      <c r="Z303" s="123"/>
      <c r="AA303" s="123"/>
      <c r="AC303" s="32"/>
      <c r="AD303" s="32"/>
      <c r="AE303" s="32"/>
      <c r="AF303" s="32"/>
      <c r="AG303" s="32"/>
      <c r="AH303" s="32"/>
      <c r="AJ303" s="32"/>
      <c r="AK303" s="32"/>
      <c r="AL303" s="32"/>
      <c r="AM303" s="32"/>
      <c r="AO303" s="32"/>
      <c r="AP303" s="32"/>
      <c r="AQ303" s="32"/>
      <c r="AR303" s="32"/>
    </row>
    <row r="304" spans="1:62" s="122" customFormat="1" x14ac:dyDescent="0.25">
      <c r="A304" s="120"/>
      <c r="B304" s="130" t="s">
        <v>108</v>
      </c>
      <c r="C304" s="131">
        <v>1</v>
      </c>
      <c r="D304" s="130" t="s">
        <v>108</v>
      </c>
      <c r="E304" s="131">
        <v>1</v>
      </c>
      <c r="F304" s="130"/>
      <c r="G304" s="134"/>
      <c r="H304" s="137"/>
      <c r="I304" s="134"/>
      <c r="J304" s="134"/>
      <c r="K304" s="134"/>
      <c r="L304" s="134"/>
      <c r="M304" s="134"/>
      <c r="O304" s="123"/>
      <c r="P304" s="123"/>
      <c r="Q304" s="123"/>
      <c r="R304" s="123"/>
      <c r="S304" s="124"/>
      <c r="T304" s="123"/>
      <c r="U304" s="123"/>
      <c r="V304" s="123"/>
      <c r="W304" s="123"/>
      <c r="X304" s="123"/>
      <c r="Y304" s="123"/>
      <c r="Z304" s="123"/>
      <c r="AA304" s="123"/>
      <c r="AC304" s="32"/>
      <c r="AD304" s="32"/>
      <c r="AE304" s="32"/>
      <c r="AF304" s="32"/>
      <c r="AG304" s="32"/>
      <c r="AH304" s="32"/>
      <c r="AJ304" s="32"/>
      <c r="AK304" s="32"/>
      <c r="AL304" s="32"/>
      <c r="AM304" s="32"/>
      <c r="AO304" s="32"/>
      <c r="AP304" s="32"/>
      <c r="AQ304" s="32"/>
      <c r="AR304" s="32"/>
    </row>
    <row r="305" spans="1:44" s="122" customFormat="1" x14ac:dyDescent="0.25">
      <c r="A305" s="120"/>
      <c r="B305" s="41" t="s">
        <v>103</v>
      </c>
      <c r="C305" s="42">
        <v>0</v>
      </c>
      <c r="D305" s="41" t="s">
        <v>103</v>
      </c>
      <c r="E305" s="43">
        <f>C296+C305+C294*C252-C293*C253</f>
        <v>0</v>
      </c>
      <c r="F305" s="130"/>
      <c r="G305" s="134"/>
      <c r="H305" s="137"/>
      <c r="I305" s="134"/>
      <c r="J305" s="134"/>
      <c r="K305" s="134"/>
      <c r="L305" s="134"/>
      <c r="M305" s="134"/>
      <c r="O305" s="123"/>
      <c r="P305" s="123"/>
      <c r="Q305" s="123"/>
      <c r="R305" s="123"/>
      <c r="S305" s="124"/>
      <c r="T305" s="123"/>
      <c r="U305" s="123"/>
      <c r="V305" s="123"/>
      <c r="W305" s="123"/>
      <c r="X305" s="123"/>
      <c r="Y305" s="123"/>
      <c r="Z305" s="123"/>
      <c r="AA305" s="123"/>
      <c r="AC305" s="32"/>
      <c r="AD305" s="32"/>
      <c r="AE305" s="32"/>
      <c r="AF305" s="32"/>
      <c r="AG305" s="32"/>
      <c r="AH305" s="32"/>
      <c r="AJ305" s="32"/>
      <c r="AK305" s="32"/>
      <c r="AL305" s="32"/>
      <c r="AM305" s="32"/>
      <c r="AO305" s="32"/>
      <c r="AP305" s="32"/>
      <c r="AQ305" s="32"/>
      <c r="AR305" s="32"/>
    </row>
    <row r="306" spans="1:44" s="122" customFormat="1" x14ac:dyDescent="0.25">
      <c r="A306" s="120"/>
      <c r="B306" s="41" t="s">
        <v>104</v>
      </c>
      <c r="C306" s="42">
        <v>0</v>
      </c>
      <c r="D306" s="41" t="s">
        <v>104</v>
      </c>
      <c r="E306" s="43">
        <f>C297+C306+C292*C253-C294*C251</f>
        <v>0</v>
      </c>
      <c r="F306" s="130"/>
      <c r="G306" s="134"/>
      <c r="H306" s="137"/>
      <c r="I306" s="134"/>
      <c r="J306" s="134"/>
      <c r="K306" s="134"/>
      <c r="L306" s="134"/>
      <c r="M306" s="134"/>
      <c r="O306" s="123"/>
      <c r="P306" s="123"/>
      <c r="Q306" s="123"/>
      <c r="R306" s="123"/>
      <c r="S306" s="124"/>
      <c r="T306" s="123"/>
      <c r="U306" s="123"/>
      <c r="V306" s="123"/>
      <c r="W306" s="123"/>
      <c r="X306" s="123"/>
      <c r="Y306" s="123"/>
      <c r="Z306" s="123"/>
      <c r="AA306" s="123"/>
      <c r="AC306" s="32"/>
      <c r="AD306" s="32"/>
      <c r="AE306" s="32"/>
      <c r="AF306" s="32"/>
      <c r="AG306" s="32"/>
      <c r="AH306" s="32"/>
      <c r="AJ306" s="32"/>
      <c r="AK306" s="32"/>
      <c r="AL306" s="32"/>
      <c r="AM306" s="32"/>
      <c r="AO306" s="32"/>
      <c r="AP306" s="32"/>
      <c r="AQ306" s="32"/>
      <c r="AR306" s="32"/>
    </row>
    <row r="307" spans="1:44" s="122" customFormat="1" x14ac:dyDescent="0.25">
      <c r="A307" s="120"/>
      <c r="B307" s="41" t="s">
        <v>105</v>
      </c>
      <c r="C307" s="42">
        <v>0</v>
      </c>
      <c r="D307" s="41" t="s">
        <v>105</v>
      </c>
      <c r="E307" s="43">
        <f>C298+C307+C293*C251-C292*C252</f>
        <v>-3000</v>
      </c>
      <c r="F307" s="130"/>
      <c r="G307" s="134"/>
      <c r="H307" s="137"/>
      <c r="I307" s="134"/>
      <c r="J307" s="134"/>
      <c r="K307" s="134"/>
      <c r="L307" s="134"/>
      <c r="M307" s="134"/>
      <c r="O307" s="123"/>
      <c r="P307" s="123"/>
      <c r="Q307" s="123"/>
      <c r="R307" s="123"/>
      <c r="S307" s="124"/>
      <c r="T307" s="123"/>
      <c r="U307" s="123"/>
      <c r="V307" s="123"/>
      <c r="W307" s="123"/>
      <c r="X307" s="123"/>
      <c r="Y307" s="123"/>
      <c r="Z307" s="123"/>
      <c r="AA307" s="123"/>
      <c r="AC307" s="32"/>
      <c r="AD307" s="32"/>
      <c r="AE307" s="32"/>
      <c r="AF307" s="32"/>
      <c r="AG307" s="32"/>
      <c r="AH307" s="32"/>
      <c r="AJ307" s="32"/>
      <c r="AK307" s="32"/>
      <c r="AL307" s="32"/>
      <c r="AM307" s="32"/>
      <c r="AO307" s="32"/>
      <c r="AP307" s="32"/>
      <c r="AQ307" s="32"/>
      <c r="AR307" s="32"/>
    </row>
    <row r="308" spans="1:44" s="52" customFormat="1" ht="16.5" thickBot="1" x14ac:dyDescent="0.3">
      <c r="A308" s="95"/>
      <c r="B308" s="57" t="s">
        <v>108</v>
      </c>
      <c r="C308" s="58">
        <v>1</v>
      </c>
      <c r="D308" s="57" t="s">
        <v>108</v>
      </c>
      <c r="E308" s="58">
        <v>1</v>
      </c>
      <c r="F308" s="57"/>
      <c r="G308" s="135"/>
      <c r="H308" s="138"/>
      <c r="I308" s="135"/>
      <c r="J308" s="135"/>
      <c r="K308" s="135"/>
      <c r="L308" s="135"/>
      <c r="M308" s="135"/>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x14ac:dyDescent="0.25">
      <c r="A309" s="334" t="s">
        <v>332</v>
      </c>
      <c r="B309" s="68" t="s">
        <v>250</v>
      </c>
      <c r="E309" s="1" t="s">
        <v>149</v>
      </c>
    </row>
    <row r="310" spans="1:44" ht="15" customHeight="1" x14ac:dyDescent="0.25">
      <c r="A310" s="334"/>
      <c r="B310" s="12" t="s">
        <v>73</v>
      </c>
      <c r="C310" s="56">
        <f>C288</f>
        <v>20</v>
      </c>
      <c r="E310" s="319" t="s">
        <v>138</v>
      </c>
      <c r="F310" s="319"/>
      <c r="G310" s="319" t="s">
        <v>139</v>
      </c>
      <c r="H310" s="319"/>
      <c r="N310" s="34" t="s">
        <v>98</v>
      </c>
      <c r="O310" s="1"/>
      <c r="P310" s="67"/>
      <c r="Q310" s="1"/>
      <c r="R310" s="1"/>
      <c r="S310" s="34" t="s">
        <v>136</v>
      </c>
      <c r="Y310" s="94" t="s">
        <v>297</v>
      </c>
    </row>
    <row r="311" spans="1:44" ht="15" customHeight="1" x14ac:dyDescent="0.25">
      <c r="A311" s="334"/>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x14ac:dyDescent="0.25">
      <c r="A312" s="334"/>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9.9999990647337245E-7</v>
      </c>
      <c r="R312" s="50">
        <f>ABS(F316*Q326)</f>
        <v>9.9999991647337164E-7</v>
      </c>
      <c r="S312" s="46" t="s">
        <v>84</v>
      </c>
      <c r="T312" s="49">
        <f t="array" ref="T312:W315">ABS(MMULT(T330:W333,O312:R315))</f>
        <v>5.0000000000000001E-3</v>
      </c>
      <c r="U312" s="49">
        <v>0</v>
      </c>
      <c r="V312" s="49">
        <v>9.9999990647337245E-7</v>
      </c>
      <c r="W312" s="49">
        <v>9.9999991647337164E-7</v>
      </c>
      <c r="X312" s="70" t="s">
        <v>84</v>
      </c>
      <c r="Y312" s="49">
        <f>F318+F325</f>
        <v>0</v>
      </c>
      <c r="Z312" s="29">
        <f>F321*O326</f>
        <v>0</v>
      </c>
      <c r="AA312" s="29">
        <f>F322*P326</f>
        <v>0</v>
      </c>
      <c r="AB312" s="29">
        <f>F323*Q326</f>
        <v>9.0843130285566282E-9</v>
      </c>
    </row>
    <row r="313" spans="1:44" ht="15" customHeight="1" x14ac:dyDescent="0.25">
      <c r="A313" s="60">
        <v>10</v>
      </c>
      <c r="B313" s="1" t="s">
        <v>76</v>
      </c>
      <c r="E313" s="46" t="s">
        <v>113</v>
      </c>
      <c r="F313" s="48">
        <f>CS_10!B47</f>
        <v>5.0000000000000001E-3</v>
      </c>
      <c r="G313" s="46" t="s">
        <v>113</v>
      </c>
      <c r="H313" s="48">
        <f>CS_10!B54</f>
        <v>0</v>
      </c>
      <c r="N313" s="46" t="s">
        <v>112</v>
      </c>
      <c r="O313" s="50">
        <f t="shared" ref="O313:O314" si="74">ABS(F312)</f>
        <v>5.0000000000000001E-3</v>
      </c>
      <c r="P313" s="50">
        <f>ABS(F314*O327)</f>
        <v>0</v>
      </c>
      <c r="Q313" s="50">
        <f>ABS(F315*P327)</f>
        <v>0</v>
      </c>
      <c r="R313" s="50">
        <f>ABS(F316*Q327)</f>
        <v>1.9999996666666847E-3</v>
      </c>
      <c r="S313" s="46" t="s">
        <v>112</v>
      </c>
      <c r="T313" s="49">
        <v>5.0000000000000001E-3</v>
      </c>
      <c r="U313" s="49">
        <v>0</v>
      </c>
      <c r="V313" s="49">
        <v>0</v>
      </c>
      <c r="W313" s="49">
        <v>1.9999996666666847E-3</v>
      </c>
      <c r="X313" s="70" t="s">
        <v>112</v>
      </c>
      <c r="Y313" s="49">
        <f t="shared" ref="Y313:Y314" si="75">F319+F326</f>
        <v>-1.1591962905718702E-4</v>
      </c>
      <c r="Z313" s="29">
        <f>F321*O327</f>
        <v>0</v>
      </c>
      <c r="AA313" s="29">
        <f>F322*P327</f>
        <v>0</v>
      </c>
      <c r="AB313" s="29">
        <f>F323*Q327</f>
        <v>-1.816862454657303E-5</v>
      </c>
    </row>
    <row r="314" spans="1:44" ht="15" customHeight="1" x14ac:dyDescent="0.25">
      <c r="A314" s="43">
        <f>IF(A313&gt;Naxes,0,1)</f>
        <v>0</v>
      </c>
      <c r="B314" s="2" t="s">
        <v>177</v>
      </c>
      <c r="C314" s="37">
        <v>0</v>
      </c>
      <c r="E314" s="4" t="s">
        <v>85</v>
      </c>
      <c r="F314" s="48">
        <f>CS_10!B48</f>
        <v>1.0000000000000007E-4</v>
      </c>
      <c r="G314" s="4" t="s">
        <v>85</v>
      </c>
      <c r="H314" s="48">
        <f>CS_10!B55</f>
        <v>0</v>
      </c>
      <c r="N314" s="46" t="s">
        <v>113</v>
      </c>
      <c r="O314" s="50">
        <f t="shared" si="74"/>
        <v>5.0000000000000001E-3</v>
      </c>
      <c r="P314" s="50">
        <f>ABS(F314*O328)</f>
        <v>0</v>
      </c>
      <c r="Q314" s="50">
        <f>ABS(F315*P328)</f>
        <v>1.9999996466666882E-3</v>
      </c>
      <c r="R314" s="50">
        <f>ABS(F316*Q328)</f>
        <v>0</v>
      </c>
      <c r="S314" s="46" t="s">
        <v>113</v>
      </c>
      <c r="T314" s="49">
        <v>5.0000000000000001E-3</v>
      </c>
      <c r="U314" s="49">
        <v>0</v>
      </c>
      <c r="V314" s="49">
        <v>1.9999996466666882E-3</v>
      </c>
      <c r="W314" s="49">
        <v>0</v>
      </c>
      <c r="X314" s="70" t="s">
        <v>113</v>
      </c>
      <c r="Y314" s="49">
        <f t="shared" si="75"/>
        <v>0</v>
      </c>
      <c r="Z314" s="29">
        <f>F321*O328</f>
        <v>0</v>
      </c>
      <c r="AA314" s="29">
        <f>F322*P328</f>
        <v>0</v>
      </c>
      <c r="AB314" s="29">
        <f>F323*Q328</f>
        <v>0</v>
      </c>
    </row>
    <row r="315" spans="1:44" ht="15" customHeight="1" x14ac:dyDescent="0.25">
      <c r="A315" s="336" t="s">
        <v>127</v>
      </c>
      <c r="B315" s="2" t="s">
        <v>179</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x14ac:dyDescent="0.25">
      <c r="A316" s="336"/>
      <c r="B316" s="2" t="s">
        <v>178</v>
      </c>
      <c r="C316" s="37">
        <v>0</v>
      </c>
      <c r="E316" s="4" t="s">
        <v>87</v>
      </c>
      <c r="F316" s="48">
        <f>CS_10!B50</f>
        <v>1.0000000000000007E-4</v>
      </c>
      <c r="G316" s="4" t="s">
        <v>87</v>
      </c>
      <c r="H316" s="48">
        <f>CS_10!B57</f>
        <v>0</v>
      </c>
      <c r="X316" s="6"/>
    </row>
    <row r="317" spans="1:44" ht="15" customHeight="1" x14ac:dyDescent="0.25">
      <c r="A317" s="336"/>
      <c r="B317" s="2" t="s">
        <v>245</v>
      </c>
      <c r="C317" s="37">
        <v>10</v>
      </c>
      <c r="E317" s="319" t="s">
        <v>247</v>
      </c>
      <c r="F317" s="319"/>
      <c r="G317" s="319" t="s">
        <v>251</v>
      </c>
      <c r="H317" s="319"/>
      <c r="N317" s="34" t="s">
        <v>99</v>
      </c>
      <c r="O317" s="1"/>
      <c r="P317" s="67"/>
      <c r="Q317" s="1"/>
      <c r="R317" s="1"/>
      <c r="S317" s="34" t="s">
        <v>137</v>
      </c>
      <c r="X317" s="6"/>
      <c r="Y317" s="94" t="s">
        <v>296</v>
      </c>
    </row>
    <row r="318" spans="1:44" ht="15" customHeight="1" x14ac:dyDescent="0.25">
      <c r="A318" s="336"/>
      <c r="B318" s="2" t="s">
        <v>77</v>
      </c>
      <c r="C318" s="38">
        <v>0</v>
      </c>
      <c r="E318" s="46" t="s">
        <v>84</v>
      </c>
      <c r="F318" s="49">
        <f>E334/IF(H318=0,1000000000000,H318)</f>
        <v>0</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x14ac:dyDescent="0.25">
      <c r="A319" s="330" t="s">
        <v>134</v>
      </c>
      <c r="B319" s="2" t="s">
        <v>107</v>
      </c>
      <c r="C319" s="37">
        <v>0</v>
      </c>
      <c r="E319" s="46" t="s">
        <v>112</v>
      </c>
      <c r="F319" s="49">
        <f t="shared" ref="F319:F320" si="76">E335/IF(H319=0,1000000000000,H319)</f>
        <v>-1.1591962905718702E-4</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0</v>
      </c>
      <c r="Z319" s="29">
        <f t="array" ref="Z319:Z322">MMULT(T330:W333,Z312:Z315)</f>
        <v>0</v>
      </c>
      <c r="AA319" s="29">
        <f t="array" ref="AA319:AA322">MMULT(T330:W333,AA312:AA315)</f>
        <v>0</v>
      </c>
      <c r="AB319" s="29">
        <f t="array" ref="AB319:AB322">MMULT(T330:W333,AB312:AB315)</f>
        <v>9.0843130285566282E-9</v>
      </c>
    </row>
    <row r="320" spans="1:44" ht="15" customHeight="1" x14ac:dyDescent="0.25">
      <c r="A320" s="331"/>
      <c r="B320" s="34" t="s">
        <v>78</v>
      </c>
      <c r="E320" s="46" t="s">
        <v>113</v>
      </c>
      <c r="F320" s="49">
        <f t="shared" si="76"/>
        <v>0</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-1.1591962905718702E-4</v>
      </c>
      <c r="Z320" s="29">
        <v>0</v>
      </c>
      <c r="AA320" s="29">
        <v>0</v>
      </c>
      <c r="AB320" s="29">
        <v>-1.816862454657303E-5</v>
      </c>
    </row>
    <row r="321" spans="1:62" ht="15" customHeight="1" x14ac:dyDescent="0.25">
      <c r="A321" s="331"/>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0</v>
      </c>
      <c r="Z321" s="29">
        <v>0</v>
      </c>
      <c r="AA321" s="29">
        <v>0</v>
      </c>
      <c r="AB321" s="29">
        <v>0</v>
      </c>
    </row>
    <row r="322" spans="1:62" ht="15" customHeight="1" x14ac:dyDescent="0.25">
      <c r="A322" s="331"/>
      <c r="B322" s="12" t="s">
        <v>80</v>
      </c>
      <c r="C322" s="31">
        <f>AC331+C318</f>
        <v>0</v>
      </c>
      <c r="E322" s="4" t="s">
        <v>86</v>
      </c>
      <c r="F322" s="49">
        <f t="shared" ref="F322:F323" si="77">E339/IF(H322=0,1000000000000,H322)</f>
        <v>0</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x14ac:dyDescent="0.25">
      <c r="A323" s="331"/>
      <c r="B323" s="12" t="s">
        <v>81</v>
      </c>
      <c r="C323" s="31">
        <f>AC332+C319</f>
        <v>0</v>
      </c>
      <c r="E323" s="4" t="s">
        <v>87</v>
      </c>
      <c r="F323" s="49">
        <f t="shared" si="77"/>
        <v>-9.0843137873387375E-7</v>
      </c>
      <c r="G323" s="46" t="s">
        <v>116</v>
      </c>
      <c r="H323" s="29">
        <f>CS_10!B31</f>
        <v>6604791666.666667</v>
      </c>
      <c r="AB323" s="5"/>
      <c r="AU323" s="5" t="s">
        <v>67</v>
      </c>
      <c r="AZ323" s="5" t="s">
        <v>92</v>
      </c>
      <c r="BE323" s="5" t="s">
        <v>97</v>
      </c>
      <c r="BJ323" s="5" t="s">
        <v>97</v>
      </c>
    </row>
    <row r="324" spans="1:62" ht="31.5" x14ac:dyDescent="0.25">
      <c r="A324" s="331"/>
      <c r="B324" s="69" t="s">
        <v>106</v>
      </c>
      <c r="E324" s="319" t="s">
        <v>294</v>
      </c>
      <c r="F324" s="333"/>
      <c r="G324" s="327" t="s">
        <v>293</v>
      </c>
      <c r="H324" s="328"/>
      <c r="I324" s="328"/>
      <c r="J324" s="328"/>
      <c r="K324" s="328"/>
      <c r="L324" s="329"/>
      <c r="M324" s="93" t="s">
        <v>295</v>
      </c>
      <c r="N324" s="84" t="s">
        <v>248</v>
      </c>
      <c r="AE324" s="45" t="s">
        <v>227</v>
      </c>
      <c r="AF324" s="91">
        <v>1E-3</v>
      </c>
      <c r="AG324" s="45"/>
      <c r="AH324" s="45"/>
      <c r="AI324" s="45"/>
      <c r="AJ324" s="45" t="s">
        <v>93</v>
      </c>
      <c r="AK324" s="92">
        <v>1E-3</v>
      </c>
      <c r="AL324" s="7"/>
      <c r="AM324" s="7"/>
      <c r="AN324" s="45"/>
      <c r="AO324" s="45" t="s">
        <v>226</v>
      </c>
      <c r="AP324" s="91">
        <v>1E-3</v>
      </c>
      <c r="AU324" s="7" t="s">
        <v>0</v>
      </c>
      <c r="AV324" s="7" t="s">
        <v>1</v>
      </c>
      <c r="AW324" s="7" t="s">
        <v>2</v>
      </c>
      <c r="AZ324" s="7" t="s">
        <v>0</v>
      </c>
      <c r="BA324" s="7" t="s">
        <v>1</v>
      </c>
      <c r="BB324" s="7" t="s">
        <v>2</v>
      </c>
      <c r="BE324" s="7" t="s">
        <v>0</v>
      </c>
      <c r="BF324" s="7" t="s">
        <v>1</v>
      </c>
      <c r="BG324" s="7" t="s">
        <v>2</v>
      </c>
    </row>
    <row r="325" spans="1:62" ht="15" customHeight="1" x14ac:dyDescent="0.25">
      <c r="A325" s="331"/>
      <c r="B325" s="41" t="s">
        <v>100</v>
      </c>
      <c r="C325" s="43">
        <f t="array" ref="C325:C328">MMULT(O297:R300,E301:E304)</f>
        <v>0</v>
      </c>
      <c r="E325" s="46" t="s">
        <v>84</v>
      </c>
      <c r="F325" s="49">
        <f t="array" ref="F325:F330">MMULT(G325:L330,M325:M330)</f>
        <v>0</v>
      </c>
      <c r="G325" s="132">
        <f>CS_10!G5</f>
        <v>0</v>
      </c>
      <c r="H325" s="132">
        <f>CS_10!H5</f>
        <v>0</v>
      </c>
      <c r="I325" s="132">
        <f>CS_10!I5</f>
        <v>0</v>
      </c>
      <c r="J325" s="132">
        <f>CS_10!J5</f>
        <v>0</v>
      </c>
      <c r="K325" s="132">
        <f>CS_10!K5</f>
        <v>0</v>
      </c>
      <c r="L325" s="132">
        <f>CS_10!L5</f>
        <v>0</v>
      </c>
      <c r="M325" s="29">
        <f>C325</f>
        <v>0</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0.99999950000004167</v>
      </c>
      <c r="AK325" s="49">
        <v>0</v>
      </c>
      <c r="AL325" s="49">
        <f>-AJ327</f>
        <v>9.9999983333334168E-4</v>
      </c>
      <c r="AM325" s="49">
        <v>0</v>
      </c>
      <c r="AN325" s="80"/>
      <c r="AO325" s="49">
        <f>COS(AP324)</f>
        <v>0.99999950000004167</v>
      </c>
      <c r="AP325" s="49">
        <f>-AO326</f>
        <v>-9.9999983333334168E-4</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19.999990000000835</v>
      </c>
      <c r="BA325" s="49">
        <f>AZ325-$AC325</f>
        <v>-9.9999991647337083E-6</v>
      </c>
      <c r="BB325" s="49">
        <f>BA325/AK324</f>
        <v>-9.9999991647337083E-3</v>
      </c>
      <c r="BC325" s="80"/>
      <c r="BD325" s="29" t="s">
        <v>63</v>
      </c>
      <c r="BE325" s="49">
        <f t="array" ref="BE325:BE328">MMULT(AO325:AR328,$AC325:$AC328)</f>
        <v>19.999990000000835</v>
      </c>
      <c r="BF325" s="49">
        <f>BE325-$AC325</f>
        <v>-9.9999991647337083E-6</v>
      </c>
      <c r="BG325" s="49">
        <f>BF325/AP324</f>
        <v>-9.9999991647337083E-3</v>
      </c>
    </row>
    <row r="326" spans="1:62" x14ac:dyDescent="0.25">
      <c r="A326" s="331"/>
      <c r="B326" s="41" t="s">
        <v>101</v>
      </c>
      <c r="C326" s="43">
        <v>-300</v>
      </c>
      <c r="E326" s="46" t="s">
        <v>112</v>
      </c>
      <c r="F326" s="49">
        <v>0</v>
      </c>
      <c r="G326" s="132">
        <f>CS_10!G6</f>
        <v>0</v>
      </c>
      <c r="H326" s="132">
        <f>CS_10!H6</f>
        <v>0</v>
      </c>
      <c r="I326" s="132">
        <f>CS_10!I6</f>
        <v>0</v>
      </c>
      <c r="J326" s="132">
        <f>CS_10!J6</f>
        <v>0</v>
      </c>
      <c r="K326" s="132">
        <f>CS_10!K6</f>
        <v>0</v>
      </c>
      <c r="L326" s="132">
        <f>CS_10!L6</f>
        <v>0</v>
      </c>
      <c r="M326" s="29">
        <f t="shared" ref="M326:M327" si="78">C326</f>
        <v>-300</v>
      </c>
      <c r="N326" s="46" t="s">
        <v>84</v>
      </c>
      <c r="O326" s="31">
        <f>AW325</f>
        <v>0</v>
      </c>
      <c r="P326" s="31">
        <f>BB325</f>
        <v>-9.9999991647337083E-3</v>
      </c>
      <c r="Q326" s="31">
        <f>BG325</f>
        <v>-9.9999991647337083E-3</v>
      </c>
      <c r="AB326" t="s">
        <v>71</v>
      </c>
      <c r="AC326" s="29">
        <f>C311</f>
        <v>0</v>
      </c>
      <c r="AD326" s="29"/>
      <c r="AE326" s="78">
        <v>0</v>
      </c>
      <c r="AF326" s="49">
        <f>COS(AF324)</f>
        <v>0.99999950000004167</v>
      </c>
      <c r="AG326" s="49">
        <f>-SIN(AF324)</f>
        <v>-9.9999983333334168E-4</v>
      </c>
      <c r="AH326" s="79">
        <v>0</v>
      </c>
      <c r="AI326" s="80"/>
      <c r="AJ326" s="49">
        <v>0</v>
      </c>
      <c r="AK326" s="49">
        <v>1</v>
      </c>
      <c r="AL326" s="49">
        <v>0</v>
      </c>
      <c r="AM326" s="49">
        <v>0</v>
      </c>
      <c r="AN326" s="80"/>
      <c r="AO326" s="49">
        <f>SIN(AP324)</f>
        <v>9.9999983333334168E-4</v>
      </c>
      <c r="AP326" s="49">
        <f>AO325</f>
        <v>0.99999950000004167</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1.9999996666666832E-2</v>
      </c>
      <c r="BF326" s="49">
        <f>BE326-$AC326</f>
        <v>1.9999996666666832E-2</v>
      </c>
      <c r="BG326" s="49">
        <f>BF326/AP324</f>
        <v>19.999996666666831</v>
      </c>
    </row>
    <row r="327" spans="1:62" x14ac:dyDescent="0.25">
      <c r="A327" s="331"/>
      <c r="B327" s="41" t="s">
        <v>102</v>
      </c>
      <c r="C327" s="43">
        <v>0</v>
      </c>
      <c r="E327" s="46" t="s">
        <v>113</v>
      </c>
      <c r="F327" s="49">
        <v>0</v>
      </c>
      <c r="G327" s="132">
        <f>CS_10!G7</f>
        <v>0</v>
      </c>
      <c r="H327" s="132">
        <f>CS_10!H7</f>
        <v>0</v>
      </c>
      <c r="I327" s="132">
        <f>CS_10!I7</f>
        <v>0</v>
      </c>
      <c r="J327" s="132">
        <f>CS_10!J7</f>
        <v>0</v>
      </c>
      <c r="K327" s="132">
        <f>CS_10!K7</f>
        <v>0</v>
      </c>
      <c r="L327" s="132">
        <f>CS_10!L7</f>
        <v>0</v>
      </c>
      <c r="M327" s="29">
        <f t="shared" si="78"/>
        <v>0</v>
      </c>
      <c r="N327" s="46" t="s">
        <v>112</v>
      </c>
      <c r="O327" s="31">
        <f t="shared" ref="O327:O328" si="79">AW326</f>
        <v>0</v>
      </c>
      <c r="P327" s="31">
        <f t="shared" ref="P327:P328" si="80">BB326</f>
        <v>0</v>
      </c>
      <c r="Q327" s="31">
        <f t="shared" ref="Q327:Q328" si="81">BG326</f>
        <v>19.999996666666831</v>
      </c>
      <c r="AB327" t="s">
        <v>72</v>
      </c>
      <c r="AC327" s="29">
        <f>C312</f>
        <v>0</v>
      </c>
      <c r="AD327" s="29"/>
      <c r="AE327" s="78">
        <v>0</v>
      </c>
      <c r="AF327" s="49">
        <f>-AG326</f>
        <v>9.9999983333334168E-4</v>
      </c>
      <c r="AG327" s="49">
        <f>AF326</f>
        <v>0.99999950000004167</v>
      </c>
      <c r="AH327" s="79">
        <v>0</v>
      </c>
      <c r="AI327" s="80"/>
      <c r="AJ327" s="49">
        <f>-SIN(AK324)</f>
        <v>-9.9999983333334168E-4</v>
      </c>
      <c r="AK327" s="49">
        <v>0</v>
      </c>
      <c r="AL327" s="49">
        <f>COS(AK324)</f>
        <v>0.99999950000004167</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-1.9999996666666832E-2</v>
      </c>
      <c r="BA327" s="49">
        <f>AZ327-$AC327</f>
        <v>-1.9999996666666832E-2</v>
      </c>
      <c r="BB327" s="49">
        <f>BA327/AK324</f>
        <v>-19.999996666666831</v>
      </c>
      <c r="BC327" s="80"/>
      <c r="BD327" s="29" t="s">
        <v>65</v>
      </c>
      <c r="BE327" s="49">
        <v>0</v>
      </c>
      <c r="BF327" s="49">
        <f>BE327-$AC327</f>
        <v>0</v>
      </c>
      <c r="BG327" s="49">
        <f>BF327/AP324</f>
        <v>0</v>
      </c>
    </row>
    <row r="328" spans="1:62" ht="15" customHeight="1" x14ac:dyDescent="0.25">
      <c r="A328" s="331"/>
      <c r="B328" s="41" t="s">
        <v>108</v>
      </c>
      <c r="C328" s="43">
        <v>1</v>
      </c>
      <c r="E328" s="4" t="s">
        <v>85</v>
      </c>
      <c r="F328" s="49">
        <v>0</v>
      </c>
      <c r="G328" s="132">
        <f>CS_10!G8</f>
        <v>0</v>
      </c>
      <c r="H328" s="132">
        <f>CS_10!H8</f>
        <v>0</v>
      </c>
      <c r="I328" s="132">
        <f>CS_10!I8</f>
        <v>0</v>
      </c>
      <c r="J328" s="132">
        <f>CS_10!J8</f>
        <v>0</v>
      </c>
      <c r="K328" s="132">
        <f>CS_10!K8</f>
        <v>0</v>
      </c>
      <c r="L328" s="132">
        <f>CS_10!L8</f>
        <v>0</v>
      </c>
      <c r="M328" s="29">
        <f>C329</f>
        <v>0</v>
      </c>
      <c r="N328" s="46" t="s">
        <v>113</v>
      </c>
      <c r="O328" s="31">
        <f t="shared" si="79"/>
        <v>0</v>
      </c>
      <c r="P328" s="31">
        <f t="shared" si="80"/>
        <v>-19.999996666666831</v>
      </c>
      <c r="Q328" s="31">
        <f t="shared" si="81"/>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x14ac:dyDescent="0.25">
      <c r="A329" s="331"/>
      <c r="B329" s="41" t="s">
        <v>103</v>
      </c>
      <c r="C329" s="43">
        <f t="array" ref="C329:C332">MMULT(O297:R300,E305:E308)</f>
        <v>0</v>
      </c>
      <c r="E329" s="4" t="s">
        <v>86</v>
      </c>
      <c r="F329" s="49">
        <v>0</v>
      </c>
      <c r="G329" s="132">
        <f>CS_10!G9</f>
        <v>0</v>
      </c>
      <c r="H329" s="132">
        <f>CS_10!H9</f>
        <v>0</v>
      </c>
      <c r="I329" s="132">
        <f>CS_10!I9</f>
        <v>0</v>
      </c>
      <c r="J329" s="132">
        <f>CS_10!J9</f>
        <v>0</v>
      </c>
      <c r="K329" s="132">
        <f>CS_10!K9</f>
        <v>0</v>
      </c>
      <c r="L329" s="132">
        <f>CS_10!L9</f>
        <v>0</v>
      </c>
      <c r="M329" s="29">
        <f>C330</f>
        <v>0</v>
      </c>
      <c r="O329" s="3" t="s">
        <v>82</v>
      </c>
      <c r="S329">
        <v>1</v>
      </c>
      <c r="T329" s="3" t="s">
        <v>83</v>
      </c>
      <c r="AE329" t="s">
        <v>95</v>
      </c>
      <c r="AJ329" t="s">
        <v>94</v>
      </c>
      <c r="AO329" t="s">
        <v>96</v>
      </c>
    </row>
    <row r="330" spans="1:62" ht="15" customHeight="1" x14ac:dyDescent="0.25">
      <c r="A330" s="331"/>
      <c r="B330" s="41" t="s">
        <v>104</v>
      </c>
      <c r="C330" s="43">
        <v>0</v>
      </c>
      <c r="E330" s="4" t="s">
        <v>87</v>
      </c>
      <c r="F330" s="49">
        <v>0</v>
      </c>
      <c r="G330" s="132">
        <f>CS_10!G10</f>
        <v>0</v>
      </c>
      <c r="H330" s="132">
        <f>CS_10!H10</f>
        <v>0</v>
      </c>
      <c r="I330" s="132">
        <f>CS_10!I10</f>
        <v>0</v>
      </c>
      <c r="J330" s="132">
        <f>CS_10!J10</f>
        <v>0</v>
      </c>
      <c r="K330" s="132">
        <f>CS_10!K10</f>
        <v>0</v>
      </c>
      <c r="L330" s="132">
        <f>CS_10!L10</f>
        <v>0</v>
      </c>
      <c r="M330" s="29">
        <f>C331</f>
        <v>-3000</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x14ac:dyDescent="0.25">
      <c r="A331" s="331"/>
      <c r="B331" s="41" t="s">
        <v>105</v>
      </c>
      <c r="C331" s="43">
        <v>-3000</v>
      </c>
      <c r="G331" s="111"/>
      <c r="H331" s="111"/>
      <c r="I331" s="111"/>
      <c r="J331" s="125"/>
      <c r="K331" s="125"/>
      <c r="L331" s="125"/>
      <c r="M331" s="125"/>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x14ac:dyDescent="0.25">
      <c r="A332" s="331"/>
      <c r="B332" s="41" t="s">
        <v>108</v>
      </c>
      <c r="C332" s="43">
        <v>1</v>
      </c>
      <c r="G332" s="111"/>
      <c r="H332" s="111"/>
      <c r="I332" s="111"/>
      <c r="J332" s="125"/>
      <c r="K332" s="125"/>
      <c r="L332" s="125"/>
      <c r="M332" s="125"/>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2" customFormat="1" x14ac:dyDescent="0.25">
      <c r="A333" s="331"/>
      <c r="B333" s="77" t="s">
        <v>183</v>
      </c>
      <c r="C333"/>
      <c r="D333" s="89" t="s">
        <v>246</v>
      </c>
      <c r="E333"/>
      <c r="G333" s="127"/>
      <c r="H333" s="127"/>
      <c r="I333" s="127"/>
      <c r="J333" s="134"/>
      <c r="K333" s="134"/>
      <c r="L333" s="134"/>
      <c r="M333" s="134"/>
      <c r="O333" s="123">
        <v>0</v>
      </c>
      <c r="P333" s="123">
        <v>0</v>
      </c>
      <c r="Q333" s="123">
        <v>0</v>
      </c>
      <c r="R333" s="123">
        <v>1</v>
      </c>
      <c r="S333" s="124"/>
      <c r="T333" s="123">
        <v>0</v>
      </c>
      <c r="U333" s="123">
        <v>0</v>
      </c>
      <c r="V333" s="123">
        <v>0</v>
      </c>
      <c r="W333" s="123">
        <v>1</v>
      </c>
      <c r="X333" s="123"/>
      <c r="Y333" s="123"/>
      <c r="Z333" s="123"/>
      <c r="AA333" s="123"/>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2" customFormat="1" x14ac:dyDescent="0.25">
      <c r="A334" s="331"/>
      <c r="B334" s="41" t="s">
        <v>100</v>
      </c>
      <c r="C334" s="42">
        <v>0</v>
      </c>
      <c r="D334" s="41" t="s">
        <v>100</v>
      </c>
      <c r="E334" s="43">
        <f>C325+C334</f>
        <v>0</v>
      </c>
      <c r="F334" s="130"/>
      <c r="G334" s="134"/>
      <c r="H334" s="137"/>
      <c r="I334" s="134"/>
      <c r="J334" s="134"/>
      <c r="K334" s="134"/>
      <c r="L334" s="134"/>
      <c r="M334" s="134"/>
      <c r="O334" s="123"/>
      <c r="P334" s="123"/>
      <c r="Q334" s="123"/>
      <c r="R334" s="123"/>
      <c r="S334" s="124"/>
      <c r="T334" s="123"/>
      <c r="U334" s="123"/>
      <c r="V334" s="123"/>
      <c r="W334" s="123"/>
      <c r="X334" s="123"/>
      <c r="Y334" s="123"/>
      <c r="Z334" s="123"/>
      <c r="AA334" s="123"/>
      <c r="AC334" s="32"/>
      <c r="AD334" s="32"/>
      <c r="AE334" s="32"/>
      <c r="AF334" s="32"/>
      <c r="AG334" s="32"/>
      <c r="AH334" s="32"/>
      <c r="AJ334" s="32"/>
      <c r="AK334" s="32"/>
      <c r="AL334" s="32"/>
      <c r="AM334" s="32"/>
      <c r="AO334" s="32"/>
      <c r="AP334" s="32"/>
      <c r="AQ334" s="32"/>
      <c r="AR334" s="32"/>
    </row>
    <row r="335" spans="1:62" s="122" customFormat="1" x14ac:dyDescent="0.25">
      <c r="A335" s="331"/>
      <c r="B335" s="41" t="s">
        <v>101</v>
      </c>
      <c r="C335" s="42">
        <v>0</v>
      </c>
      <c r="D335" s="41" t="s">
        <v>101</v>
      </c>
      <c r="E335" s="43">
        <f>C326+C335</f>
        <v>-300</v>
      </c>
      <c r="F335" s="130"/>
      <c r="G335" s="134"/>
      <c r="H335" s="137"/>
      <c r="I335" s="134"/>
      <c r="J335" s="134"/>
      <c r="K335" s="134"/>
      <c r="L335" s="134"/>
      <c r="M335" s="134"/>
      <c r="O335" s="123"/>
      <c r="P335" s="123"/>
      <c r="Q335" s="123"/>
      <c r="R335" s="123"/>
      <c r="S335" s="124"/>
      <c r="T335" s="123"/>
      <c r="U335" s="123"/>
      <c r="V335" s="123"/>
      <c r="W335" s="123"/>
      <c r="X335" s="123"/>
      <c r="Y335" s="123"/>
      <c r="Z335" s="123"/>
      <c r="AA335" s="123"/>
      <c r="AC335" s="32"/>
      <c r="AD335" s="32"/>
      <c r="AE335" s="32"/>
      <c r="AF335" s="32"/>
      <c r="AG335" s="32"/>
      <c r="AH335" s="32"/>
      <c r="AJ335" s="32"/>
      <c r="AK335" s="32"/>
      <c r="AL335" s="32"/>
      <c r="AM335" s="32"/>
      <c r="AO335" s="32"/>
      <c r="AP335" s="32"/>
      <c r="AQ335" s="32"/>
      <c r="AR335" s="32"/>
    </row>
    <row r="336" spans="1:62" s="122" customFormat="1" x14ac:dyDescent="0.25">
      <c r="A336" s="331"/>
      <c r="B336" s="41" t="s">
        <v>102</v>
      </c>
      <c r="C336" s="42">
        <v>0</v>
      </c>
      <c r="D336" s="41" t="s">
        <v>102</v>
      </c>
      <c r="E336" s="43">
        <f>C327+C336</f>
        <v>0</v>
      </c>
      <c r="F336" s="130"/>
      <c r="G336" s="134"/>
      <c r="H336" s="137"/>
      <c r="I336" s="134"/>
      <c r="J336" s="134"/>
      <c r="K336" s="134"/>
      <c r="L336" s="134"/>
      <c r="M336" s="134"/>
      <c r="O336" s="123"/>
      <c r="P336" s="123"/>
      <c r="Q336" s="123"/>
      <c r="R336" s="123"/>
      <c r="S336" s="124"/>
      <c r="T336" s="123"/>
      <c r="U336" s="123"/>
      <c r="V336" s="123"/>
      <c r="W336" s="123"/>
      <c r="X336" s="123"/>
      <c r="Y336" s="123"/>
      <c r="Z336" s="123"/>
      <c r="AA336" s="123"/>
      <c r="AC336" s="32"/>
      <c r="AD336" s="32"/>
      <c r="AE336" s="32"/>
      <c r="AF336" s="32"/>
      <c r="AG336" s="32"/>
      <c r="AH336" s="32"/>
      <c r="AJ336" s="32"/>
      <c r="AK336" s="32"/>
      <c r="AL336" s="32"/>
      <c r="AM336" s="32"/>
      <c r="AO336" s="32"/>
      <c r="AP336" s="32"/>
      <c r="AQ336" s="32"/>
      <c r="AR336" s="32"/>
    </row>
    <row r="337" spans="1:44" s="122" customFormat="1" x14ac:dyDescent="0.25">
      <c r="A337" s="331"/>
      <c r="B337" s="130" t="s">
        <v>108</v>
      </c>
      <c r="C337" s="131">
        <v>1</v>
      </c>
      <c r="D337" s="130" t="s">
        <v>108</v>
      </c>
      <c r="E337" s="131">
        <v>1</v>
      </c>
      <c r="F337" s="130"/>
      <c r="G337" s="134"/>
      <c r="H337" s="137"/>
      <c r="I337" s="134"/>
      <c r="J337" s="134"/>
      <c r="K337" s="134"/>
      <c r="L337" s="134"/>
      <c r="M337" s="134"/>
      <c r="O337" s="123"/>
      <c r="P337" s="123"/>
      <c r="Q337" s="123"/>
      <c r="R337" s="123"/>
      <c r="S337" s="124"/>
      <c r="T337" s="123"/>
      <c r="U337" s="123"/>
      <c r="V337" s="123"/>
      <c r="W337" s="123"/>
      <c r="X337" s="123"/>
      <c r="Y337" s="123"/>
      <c r="Z337" s="123"/>
      <c r="AA337" s="123"/>
      <c r="AC337" s="32"/>
      <c r="AD337" s="32"/>
      <c r="AE337" s="32"/>
      <c r="AF337" s="32"/>
      <c r="AG337" s="32"/>
      <c r="AH337" s="32"/>
      <c r="AJ337" s="32"/>
      <c r="AK337" s="32"/>
      <c r="AL337" s="32"/>
      <c r="AM337" s="32"/>
      <c r="AO337" s="32"/>
      <c r="AP337" s="32"/>
      <c r="AQ337" s="32"/>
      <c r="AR337" s="32"/>
    </row>
    <row r="338" spans="1:44" s="122" customFormat="1" x14ac:dyDescent="0.25">
      <c r="A338" s="331"/>
      <c r="B338" s="41" t="s">
        <v>103</v>
      </c>
      <c r="C338" s="42">
        <v>0</v>
      </c>
      <c r="D338" s="41" t="s">
        <v>103</v>
      </c>
      <c r="E338" s="43">
        <f>C329+C338+C327*C285-C326*C286</f>
        <v>0</v>
      </c>
      <c r="F338" s="130"/>
      <c r="G338" s="134"/>
      <c r="H338" s="137"/>
      <c r="I338" s="134"/>
      <c r="J338" s="134"/>
      <c r="K338" s="134"/>
      <c r="L338" s="134"/>
      <c r="M338" s="134"/>
      <c r="O338" s="123"/>
      <c r="P338" s="123"/>
      <c r="Q338" s="123"/>
      <c r="R338" s="123"/>
      <c r="S338" s="124"/>
      <c r="T338" s="123"/>
      <c r="U338" s="123"/>
      <c r="V338" s="123"/>
      <c r="W338" s="123"/>
      <c r="X338" s="123"/>
      <c r="Y338" s="123"/>
      <c r="Z338" s="123"/>
      <c r="AA338" s="123"/>
      <c r="AC338" s="32"/>
      <c r="AD338" s="32"/>
      <c r="AE338" s="32"/>
      <c r="AF338" s="32"/>
      <c r="AG338" s="32"/>
      <c r="AH338" s="32"/>
      <c r="AJ338" s="32"/>
      <c r="AK338" s="32"/>
      <c r="AL338" s="32"/>
      <c r="AM338" s="32"/>
      <c r="AO338" s="32"/>
      <c r="AP338" s="32"/>
      <c r="AQ338" s="32"/>
      <c r="AR338" s="32"/>
    </row>
    <row r="339" spans="1:44" s="122" customFormat="1" x14ac:dyDescent="0.25">
      <c r="A339" s="331"/>
      <c r="B339" s="41" t="s">
        <v>104</v>
      </c>
      <c r="C339" s="42">
        <v>0</v>
      </c>
      <c r="D339" s="41" t="s">
        <v>104</v>
      </c>
      <c r="E339" s="43">
        <f>C330+C339+C325*C286-C327*C284</f>
        <v>0</v>
      </c>
      <c r="F339" s="130"/>
      <c r="G339" s="134"/>
      <c r="H339" s="137"/>
      <c r="I339" s="134"/>
      <c r="J339" s="134"/>
      <c r="K339" s="134"/>
      <c r="L339" s="134"/>
      <c r="M339" s="134"/>
      <c r="O339" s="123"/>
      <c r="P339" s="123"/>
      <c r="Q339" s="123"/>
      <c r="R339" s="123"/>
      <c r="S339" s="124"/>
      <c r="T339" s="123"/>
      <c r="U339" s="123"/>
      <c r="V339" s="123"/>
      <c r="W339" s="123"/>
      <c r="X339" s="123"/>
      <c r="Y339" s="123"/>
      <c r="Z339" s="123"/>
      <c r="AA339" s="123"/>
      <c r="AC339" s="32"/>
      <c r="AD339" s="32"/>
      <c r="AE339" s="32"/>
      <c r="AF339" s="32"/>
      <c r="AG339" s="32"/>
      <c r="AH339" s="32"/>
      <c r="AJ339" s="32"/>
      <c r="AK339" s="32"/>
      <c r="AL339" s="32"/>
      <c r="AM339" s="32"/>
      <c r="AO339" s="32"/>
      <c r="AP339" s="32"/>
      <c r="AQ339" s="32"/>
      <c r="AR339" s="32"/>
    </row>
    <row r="340" spans="1:44" s="122" customFormat="1" x14ac:dyDescent="0.25">
      <c r="A340" s="331"/>
      <c r="B340" s="41" t="s">
        <v>105</v>
      </c>
      <c r="C340" s="42">
        <v>0</v>
      </c>
      <c r="D340" s="41" t="s">
        <v>105</v>
      </c>
      <c r="E340" s="43">
        <f>C331+C340+C326*C284-C325*C285</f>
        <v>-6000</v>
      </c>
      <c r="F340" s="130"/>
      <c r="G340" s="134"/>
      <c r="H340" s="137"/>
      <c r="I340" s="134"/>
      <c r="J340" s="134"/>
      <c r="K340" s="134"/>
      <c r="L340" s="134"/>
      <c r="M340" s="134"/>
      <c r="O340" s="123"/>
      <c r="P340" s="123"/>
      <c r="Q340" s="123"/>
      <c r="R340" s="123"/>
      <c r="S340" s="124"/>
      <c r="T340" s="123"/>
      <c r="U340" s="123"/>
      <c r="V340" s="123"/>
      <c r="W340" s="123"/>
      <c r="X340" s="123"/>
      <c r="Y340" s="123"/>
      <c r="Z340" s="123"/>
      <c r="AA340" s="123"/>
      <c r="AC340" s="32"/>
      <c r="AD340" s="32"/>
      <c r="AE340" s="32"/>
      <c r="AF340" s="32"/>
      <c r="AG340" s="32"/>
      <c r="AH340" s="32"/>
      <c r="AJ340" s="32"/>
      <c r="AK340" s="32"/>
      <c r="AL340" s="32"/>
      <c r="AM340" s="32"/>
      <c r="AO340" s="32"/>
      <c r="AP340" s="32"/>
      <c r="AQ340" s="32"/>
      <c r="AR340" s="32"/>
    </row>
    <row r="341" spans="1:44" s="52" customFormat="1" ht="16.5" thickBot="1" x14ac:dyDescent="0.3">
      <c r="A341" s="332"/>
      <c r="B341" s="57" t="s">
        <v>108</v>
      </c>
      <c r="C341" s="58">
        <v>1</v>
      </c>
      <c r="D341" s="57" t="s">
        <v>108</v>
      </c>
      <c r="E341" s="58">
        <v>1</v>
      </c>
      <c r="F341" s="57"/>
      <c r="G341" s="135"/>
      <c r="H341" s="138"/>
      <c r="I341" s="135"/>
      <c r="J341" s="135"/>
      <c r="K341" s="135"/>
      <c r="L341" s="135"/>
      <c r="M341" s="135"/>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x14ac:dyDescent="0.25">
      <c r="S358" s="26"/>
    </row>
    <row r="362" spans="19:23" x14ac:dyDescent="0.25">
      <c r="T362" s="29" t="s">
        <v>126</v>
      </c>
    </row>
    <row r="363" spans="19:23" x14ac:dyDescent="0.25">
      <c r="T363" s="61">
        <v>1</v>
      </c>
      <c r="U363" s="62">
        <v>0</v>
      </c>
      <c r="V363" s="62">
        <v>0</v>
      </c>
      <c r="W363" s="63">
        <v>0</v>
      </c>
    </row>
    <row r="364" spans="19:23" x14ac:dyDescent="0.25">
      <c r="T364" s="28">
        <v>0</v>
      </c>
      <c r="U364" s="32">
        <v>1</v>
      </c>
      <c r="V364" s="32">
        <v>0</v>
      </c>
      <c r="W364" s="30">
        <v>0</v>
      </c>
    </row>
    <row r="365" spans="19:23" x14ac:dyDescent="0.25">
      <c r="T365" s="28">
        <v>0</v>
      </c>
      <c r="U365" s="32">
        <v>0</v>
      </c>
      <c r="V365" s="32">
        <v>1</v>
      </c>
      <c r="W365" s="30">
        <v>0</v>
      </c>
    </row>
    <row r="366" spans="19:23" x14ac:dyDescent="0.25">
      <c r="T366" s="64">
        <v>0</v>
      </c>
      <c r="U366" s="65">
        <v>0</v>
      </c>
      <c r="V366" s="65">
        <v>0</v>
      </c>
      <c r="W366" s="66">
        <v>1</v>
      </c>
    </row>
  </sheetData>
  <sheetProtection selectLockedCells="1"/>
  <mergeCells count="115">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opLeftCell="A3" zoomScale="70" zoomScaleNormal="70" zoomScalePageLayoutView="200" workbookViewId="0">
      <selection activeCell="D13" sqref="D13"/>
    </sheetView>
  </sheetViews>
  <sheetFormatPr defaultColWidth="11" defaultRowHeight="15.75" x14ac:dyDescent="0.25"/>
  <cols>
    <col min="1" max="1" width="45.375" style="81" customWidth="1"/>
    <col min="2" max="2" width="14.875" style="81" customWidth="1"/>
    <col min="3" max="3" width="34.125" style="154" customWidth="1"/>
    <col min="4" max="4" width="12" style="154" customWidth="1"/>
    <col min="5" max="6" width="7.125" style="154" customWidth="1"/>
    <col min="7" max="12" width="9.625" style="81" customWidth="1"/>
    <col min="13" max="13" width="6.375" style="81" customWidth="1"/>
    <col min="14" max="14" width="12.125" style="81" bestFit="1" customWidth="1"/>
    <col min="15" max="16384" width="11" style="81"/>
  </cols>
  <sheetData>
    <row r="1" spans="1:18" x14ac:dyDescent="0.25">
      <c r="A1" s="205" t="str">
        <f>'CSs and Loads'!A12</f>
        <v>CS 1</v>
      </c>
      <c r="B1" s="205" t="str">
        <f>'CSs and Loads'!A22</f>
        <v>desk vertical motion carriage/table</v>
      </c>
      <c r="C1" s="256"/>
      <c r="D1" s="256"/>
      <c r="E1" s="256"/>
      <c r="F1" s="256"/>
    </row>
    <row r="2" spans="1:18" ht="16.5" thickBot="1" x14ac:dyDescent="0.3">
      <c r="A2" s="82" t="s">
        <v>132</v>
      </c>
      <c r="E2" s="262"/>
      <c r="F2" s="262"/>
      <c r="G2" s="176"/>
      <c r="H2" s="176"/>
      <c r="J2" s="176"/>
      <c r="K2" s="176"/>
      <c r="L2" s="243"/>
      <c r="M2" s="243"/>
      <c r="N2" s="207"/>
    </row>
    <row r="3" spans="1:18" x14ac:dyDescent="0.25">
      <c r="A3" s="208" t="s">
        <v>111</v>
      </c>
      <c r="D3" s="261"/>
      <c r="E3" s="345" t="s">
        <v>372</v>
      </c>
      <c r="F3" s="346"/>
      <c r="G3" s="346"/>
      <c r="H3" s="346"/>
      <c r="I3" s="346"/>
      <c r="J3" s="346"/>
      <c r="K3" s="346"/>
      <c r="L3" s="346"/>
      <c r="M3" s="347"/>
      <c r="N3" s="181"/>
      <c r="O3" s="209"/>
      <c r="P3" s="209"/>
      <c r="Q3" s="209"/>
      <c r="R3" s="209"/>
    </row>
    <row r="4" spans="1:18" x14ac:dyDescent="0.25">
      <c r="A4" s="208" t="s">
        <v>321</v>
      </c>
      <c r="B4" s="177" t="s">
        <v>322</v>
      </c>
      <c r="C4" s="276" t="s">
        <v>369</v>
      </c>
      <c r="D4" s="277"/>
      <c r="E4" s="353" t="s">
        <v>318</v>
      </c>
      <c r="F4" s="354"/>
      <c r="G4" s="354"/>
      <c r="H4" s="354"/>
      <c r="I4" s="354"/>
      <c r="J4" s="354"/>
      <c r="K4" s="354"/>
      <c r="L4" s="354"/>
      <c r="M4" s="355"/>
      <c r="N4" s="181"/>
      <c r="R4" s="209"/>
    </row>
    <row r="5" spans="1:18" x14ac:dyDescent="0.25">
      <c r="A5" s="257" t="s">
        <v>339</v>
      </c>
      <c r="B5" s="177" t="s">
        <v>310</v>
      </c>
      <c r="C5" s="278" t="s">
        <v>367</v>
      </c>
      <c r="D5" s="277">
        <v>25</v>
      </c>
      <c r="E5" s="264" t="s">
        <v>282</v>
      </c>
      <c r="F5" s="351" t="s">
        <v>285</v>
      </c>
      <c r="G5" s="221">
        <f>B12/(B7*B16)</f>
        <v>1.8170805572380375E-6</v>
      </c>
      <c r="H5" s="207">
        <v>0</v>
      </c>
      <c r="I5" s="207">
        <v>0</v>
      </c>
      <c r="J5" s="207">
        <v>0</v>
      </c>
      <c r="K5" s="207">
        <v>0</v>
      </c>
      <c r="L5" s="207">
        <v>0</v>
      </c>
      <c r="M5" s="265" t="s">
        <v>276</v>
      </c>
      <c r="N5" s="181"/>
      <c r="R5" s="209"/>
    </row>
    <row r="6" spans="1:18" x14ac:dyDescent="0.25">
      <c r="A6" s="257" t="s">
        <v>342</v>
      </c>
      <c r="B6" s="177" t="s">
        <v>403</v>
      </c>
      <c r="C6" s="278" t="s">
        <v>32</v>
      </c>
      <c r="D6" s="277">
        <f>1770*9.8</f>
        <v>17346</v>
      </c>
      <c r="E6" s="264" t="s">
        <v>283</v>
      </c>
      <c r="F6" s="351"/>
      <c r="G6" s="207">
        <v>0</v>
      </c>
      <c r="H6" s="221">
        <f>B12^3/(3*B7*B18)</f>
        <v>4.0557319152191304E-3</v>
      </c>
      <c r="I6" s="207">
        <v>0</v>
      </c>
      <c r="J6" s="207">
        <v>0</v>
      </c>
      <c r="K6" s="207">
        <v>0</v>
      </c>
      <c r="L6" s="152">
        <f>B12^2/(2*B7*B18)</f>
        <v>1.0139329788047827E-5</v>
      </c>
      <c r="M6" s="265" t="s">
        <v>277</v>
      </c>
      <c r="N6" s="181"/>
      <c r="R6" s="209"/>
    </row>
    <row r="7" spans="1:18" x14ac:dyDescent="0.25">
      <c r="A7" s="258" t="s">
        <v>291</v>
      </c>
      <c r="B7" s="288">
        <v>13000</v>
      </c>
      <c r="C7" s="278" t="s">
        <v>243</v>
      </c>
      <c r="D7" s="277">
        <f>647*1000</f>
        <v>647000</v>
      </c>
      <c r="E7" s="264" t="s">
        <v>284</v>
      </c>
      <c r="F7" s="351"/>
      <c r="G7" s="207">
        <v>0</v>
      </c>
      <c r="H7" s="207">
        <v>0</v>
      </c>
      <c r="I7" s="221">
        <f>B12^3/(3*B7*B17)</f>
        <v>2.6165960024227742E-6</v>
      </c>
      <c r="J7" s="207">
        <v>0</v>
      </c>
      <c r="K7" s="152">
        <f>-1*B12^2/(2*B7*B17)</f>
        <v>-6.5414900060569352E-9</v>
      </c>
      <c r="L7" s="207">
        <v>0</v>
      </c>
      <c r="M7" s="265" t="s">
        <v>278</v>
      </c>
      <c r="N7" s="181"/>
      <c r="R7" s="209"/>
    </row>
    <row r="8" spans="1:18" x14ac:dyDescent="0.25">
      <c r="A8" s="258" t="s">
        <v>287</v>
      </c>
      <c r="B8" s="208">
        <v>0.38</v>
      </c>
      <c r="C8" s="278" t="s">
        <v>33</v>
      </c>
      <c r="D8" s="277">
        <v>3</v>
      </c>
      <c r="E8" s="264" t="s">
        <v>273</v>
      </c>
      <c r="F8" s="351"/>
      <c r="G8" s="207">
        <v>0</v>
      </c>
      <c r="H8" s="207">
        <v>0</v>
      </c>
      <c r="I8" s="207">
        <v>0</v>
      </c>
      <c r="J8" s="221">
        <f>B12/(B9*B19)</f>
        <v>1.4812313197889891E-9</v>
      </c>
      <c r="K8" s="207">
        <v>0</v>
      </c>
      <c r="L8" s="207">
        <v>0</v>
      </c>
      <c r="M8" s="265" t="s">
        <v>279</v>
      </c>
      <c r="N8" s="181"/>
      <c r="R8" s="209"/>
    </row>
    <row r="9" spans="1:18" x14ac:dyDescent="0.25">
      <c r="A9" s="258" t="s">
        <v>292</v>
      </c>
      <c r="B9" s="97">
        <f>B7/(2*(1+B8))</f>
        <v>4710.144927536232</v>
      </c>
      <c r="C9" s="278" t="s">
        <v>34</v>
      </c>
      <c r="D9" s="277">
        <v>0.01</v>
      </c>
      <c r="E9" s="264" t="s">
        <v>275</v>
      </c>
      <c r="F9" s="351"/>
      <c r="G9" s="207">
        <v>0</v>
      </c>
      <c r="H9" s="207">
        <v>0</v>
      </c>
      <c r="I9" s="155">
        <f>K7</f>
        <v>-6.5414900060569352E-9</v>
      </c>
      <c r="J9" s="207">
        <v>0</v>
      </c>
      <c r="K9" s="221">
        <f>B12/(B7*B17)</f>
        <v>2.1804966686856448E-11</v>
      </c>
      <c r="L9" s="207">
        <v>0</v>
      </c>
      <c r="M9" s="265" t="s">
        <v>280</v>
      </c>
      <c r="N9" s="181"/>
      <c r="R9" s="209"/>
    </row>
    <row r="10" spans="1:18" ht="16.5" thickBot="1" x14ac:dyDescent="0.3">
      <c r="A10" s="207" t="s">
        <v>398</v>
      </c>
      <c r="B10" s="208"/>
      <c r="C10" s="278" t="s">
        <v>288</v>
      </c>
      <c r="D10" s="279">
        <f>D6/(D8*D9)</f>
        <v>578200</v>
      </c>
      <c r="E10" s="266" t="s">
        <v>274</v>
      </c>
      <c r="F10" s="352"/>
      <c r="G10" s="267">
        <v>0</v>
      </c>
      <c r="H10" s="194">
        <f>L6</f>
        <v>1.0139329788047827E-5</v>
      </c>
      <c r="I10" s="267">
        <v>0</v>
      </c>
      <c r="J10" s="267">
        <v>0</v>
      </c>
      <c r="K10" s="267">
        <v>0</v>
      </c>
      <c r="L10" s="297">
        <f>B12/(B7*B18)</f>
        <v>3.3797765960159422E-8</v>
      </c>
      <c r="M10" s="268" t="s">
        <v>281</v>
      </c>
      <c r="N10" s="181"/>
      <c r="P10" s="224"/>
      <c r="R10" s="209"/>
    </row>
    <row r="11" spans="1:18" x14ac:dyDescent="0.25">
      <c r="A11" s="258" t="s">
        <v>347</v>
      </c>
      <c r="B11" s="293">
        <f>'CSs and Loads'!C13</f>
        <v>600</v>
      </c>
      <c r="C11" s="278" t="s">
        <v>35</v>
      </c>
      <c r="D11" s="276">
        <v>25</v>
      </c>
      <c r="E11" s="263"/>
      <c r="F11" s="263"/>
      <c r="G11" s="163"/>
      <c r="H11" s="163"/>
      <c r="I11" s="255"/>
      <c r="J11" s="255"/>
      <c r="K11" s="255"/>
      <c r="L11" s="255"/>
      <c r="M11" s="255"/>
      <c r="N11" s="207"/>
      <c r="O11" s="259"/>
      <c r="P11" s="207"/>
      <c r="Q11" s="207"/>
      <c r="R11" s="209"/>
    </row>
    <row r="12" spans="1:18" x14ac:dyDescent="0.25">
      <c r="A12" s="258" t="s">
        <v>234</v>
      </c>
      <c r="B12" s="196">
        <v>600</v>
      </c>
      <c r="C12" s="278" t="s">
        <v>379</v>
      </c>
      <c r="D12" s="280">
        <f>D7*D11^2/4</f>
        <v>101093750</v>
      </c>
      <c r="I12" s="207"/>
      <c r="J12" s="207"/>
      <c r="K12" s="207"/>
      <c r="L12" s="207"/>
      <c r="M12" s="207"/>
      <c r="N12" s="207"/>
      <c r="O12" s="259"/>
      <c r="P12" s="207"/>
      <c r="Q12" s="207"/>
      <c r="R12" s="209"/>
    </row>
    <row r="13" spans="1:18" x14ac:dyDescent="0.25">
      <c r="A13" s="258" t="s">
        <v>345</v>
      </c>
      <c r="B13" s="208">
        <v>25.4</v>
      </c>
      <c r="C13" s="278" t="s">
        <v>289</v>
      </c>
      <c r="D13" s="280">
        <f>D7*D11^2/12</f>
        <v>33697916.666666664</v>
      </c>
      <c r="I13" s="97"/>
      <c r="J13" s="207"/>
      <c r="K13" s="207"/>
      <c r="L13" s="207"/>
      <c r="M13" s="207"/>
      <c r="N13" s="207"/>
      <c r="O13" s="259"/>
      <c r="P13" s="207"/>
      <c r="Q13" s="207"/>
      <c r="R13" s="209"/>
    </row>
    <row r="14" spans="1:18" x14ac:dyDescent="0.25">
      <c r="A14" s="258" t="s">
        <v>344</v>
      </c>
      <c r="B14" s="296">
        <v>1000</v>
      </c>
      <c r="C14" s="278" t="s">
        <v>290</v>
      </c>
      <c r="D14" s="281">
        <f>D13</f>
        <v>33697916.666666664</v>
      </c>
      <c r="I14" s="207"/>
      <c r="J14" s="207"/>
      <c r="K14" s="207"/>
      <c r="L14" s="207"/>
      <c r="M14" s="207"/>
      <c r="N14" s="260"/>
      <c r="O14" s="289"/>
      <c r="P14" s="207"/>
      <c r="Q14" s="207"/>
      <c r="R14" s="209"/>
    </row>
    <row r="15" spans="1:18" x14ac:dyDescent="0.25">
      <c r="A15" s="258" t="s">
        <v>271</v>
      </c>
      <c r="B15" s="208">
        <v>0</v>
      </c>
      <c r="C15" s="282" t="s">
        <v>368</v>
      </c>
      <c r="D15" s="276"/>
      <c r="I15" s="97"/>
      <c r="J15" s="207"/>
      <c r="K15" s="207"/>
      <c r="L15" s="207"/>
      <c r="M15" s="207"/>
      <c r="N15" s="207"/>
      <c r="O15" s="259"/>
      <c r="P15" s="207"/>
      <c r="Q15" s="207"/>
      <c r="R15" s="209"/>
    </row>
    <row r="16" spans="1:18" x14ac:dyDescent="0.25">
      <c r="A16" s="303" t="s">
        <v>272</v>
      </c>
      <c r="B16" s="304">
        <f>B13*B14</f>
        <v>25400</v>
      </c>
      <c r="C16" s="283" t="s">
        <v>267</v>
      </c>
      <c r="D16" s="276"/>
      <c r="I16" s="97"/>
      <c r="J16" s="207"/>
      <c r="K16" s="207"/>
      <c r="L16" s="207"/>
      <c r="M16" s="207"/>
      <c r="N16" s="207"/>
      <c r="O16" s="259"/>
      <c r="P16" s="207"/>
      <c r="Q16" s="207"/>
      <c r="R16" s="209"/>
    </row>
    <row r="17" spans="1:19" x14ac:dyDescent="0.25">
      <c r="A17" s="303" t="s">
        <v>405</v>
      </c>
      <c r="B17" s="304">
        <f>(B14^3*B13)/12</f>
        <v>2116666666.6666667</v>
      </c>
      <c r="C17" s="278" t="s">
        <v>269</v>
      </c>
      <c r="D17" s="276">
        <v>11</v>
      </c>
      <c r="I17" s="97"/>
      <c r="J17" s="207"/>
      <c r="K17" s="207"/>
      <c r="L17" s="207"/>
      <c r="M17" s="207"/>
      <c r="N17" s="207"/>
      <c r="O17" s="259"/>
      <c r="P17" s="207"/>
      <c r="Q17" s="207"/>
      <c r="R17" s="209"/>
    </row>
    <row r="18" spans="1:19" x14ac:dyDescent="0.25">
      <c r="A18" s="303" t="s">
        <v>404</v>
      </c>
      <c r="B18" s="304">
        <f>(B14*B13^3)/12</f>
        <v>1365588.6666666665</v>
      </c>
      <c r="C18" s="278" t="s">
        <v>234</v>
      </c>
      <c r="D18" s="276">
        <v>1000</v>
      </c>
      <c r="I18" s="98"/>
      <c r="J18" s="207"/>
      <c r="K18" s="207"/>
      <c r="L18" s="207"/>
      <c r="M18" s="207"/>
      <c r="N18" s="207"/>
      <c r="O18" s="259"/>
      <c r="P18" s="207"/>
      <c r="Q18" s="207"/>
      <c r="R18" s="209"/>
    </row>
    <row r="19" spans="1:19" x14ac:dyDescent="0.25">
      <c r="A19" s="303" t="s">
        <v>236</v>
      </c>
      <c r="B19" s="304">
        <f>B14*B13^3*((16/3)-3.36*(B13/B14)*(1-B13^4/(12*B14^4)))</f>
        <v>85999137.125160262</v>
      </c>
      <c r="C19" s="278" t="s">
        <v>54</v>
      </c>
      <c r="D19" s="284">
        <v>200000</v>
      </c>
      <c r="I19" s="208"/>
      <c r="J19" s="207"/>
      <c r="K19" s="207"/>
      <c r="L19" s="207"/>
      <c r="M19" s="207"/>
      <c r="N19" s="207"/>
      <c r="O19" s="259"/>
      <c r="P19" s="207"/>
      <c r="Q19" s="207"/>
      <c r="R19" s="209"/>
    </row>
    <row r="20" spans="1:19" x14ac:dyDescent="0.25">
      <c r="A20" s="258" t="s">
        <v>337</v>
      </c>
      <c r="B20" s="97">
        <f>B18/B16</f>
        <v>53.763333333333328</v>
      </c>
      <c r="C20" s="278" t="s">
        <v>268</v>
      </c>
      <c r="D20" s="285">
        <f>PI()*D17^2/4*D19/D18</f>
        <v>19006.635554218246</v>
      </c>
      <c r="I20" s="97"/>
      <c r="J20" s="207"/>
      <c r="K20" s="207"/>
      <c r="L20" s="207"/>
      <c r="M20" s="207"/>
      <c r="N20" s="207"/>
      <c r="O20" s="259"/>
      <c r="P20" s="207"/>
      <c r="Q20" s="207"/>
      <c r="R20" s="209"/>
    </row>
    <row r="21" spans="1:19" ht="16.5" thickBot="1" x14ac:dyDescent="0.3">
      <c r="A21" s="270" t="s">
        <v>348</v>
      </c>
      <c r="B21" s="245">
        <v>5752</v>
      </c>
      <c r="C21" s="286" t="s">
        <v>320</v>
      </c>
      <c r="D21" s="287">
        <v>3</v>
      </c>
      <c r="E21" s="262"/>
      <c r="F21" s="262"/>
      <c r="G21" s="176"/>
      <c r="H21" s="176"/>
      <c r="I21" s="245"/>
      <c r="J21" s="243"/>
      <c r="K21" s="243"/>
      <c r="L21" s="243"/>
      <c r="M21" s="243"/>
      <c r="N21" s="207"/>
      <c r="O21" s="259"/>
      <c r="P21" s="207"/>
      <c r="Q21" s="207"/>
      <c r="R21" s="209"/>
    </row>
    <row r="22" spans="1:19" ht="16.5" thickBot="1" x14ac:dyDescent="0.3">
      <c r="A22" s="348" t="s">
        <v>380</v>
      </c>
      <c r="B22" s="349"/>
      <c r="C22" s="349"/>
      <c r="D22" s="349"/>
      <c r="E22" s="349"/>
      <c r="F22" s="349"/>
      <c r="G22" s="349"/>
      <c r="H22" s="349"/>
      <c r="I22" s="349"/>
      <c r="J22" s="349"/>
      <c r="K22" s="349"/>
      <c r="L22" s="349"/>
      <c r="M22" s="350"/>
      <c r="N22" s="269"/>
      <c r="O22" s="207"/>
      <c r="P22" s="207"/>
      <c r="Q22" s="207"/>
      <c r="R22" s="209"/>
    </row>
    <row r="23" spans="1:19" ht="31.5" x14ac:dyDescent="0.25">
      <c r="A23" s="272" t="s">
        <v>374</v>
      </c>
      <c r="B23" s="232"/>
      <c r="C23" s="240" t="s">
        <v>265</v>
      </c>
      <c r="D23" s="263"/>
      <c r="E23" s="263"/>
      <c r="F23" s="263"/>
      <c r="G23" s="163"/>
      <c r="H23" s="163"/>
      <c r="I23" s="163"/>
      <c r="J23" s="163"/>
      <c r="K23" s="163"/>
      <c r="L23" s="163"/>
      <c r="M23" s="163"/>
      <c r="O23" s="209"/>
      <c r="P23" s="209"/>
      <c r="Q23" s="209"/>
      <c r="R23" s="209"/>
    </row>
    <row r="24" spans="1:19" x14ac:dyDescent="0.25">
      <c r="A24" s="102" t="s">
        <v>3</v>
      </c>
      <c r="B24" s="107"/>
      <c r="O24" s="209"/>
      <c r="P24" s="209"/>
      <c r="Q24" s="209"/>
      <c r="R24" s="209"/>
    </row>
    <row r="25" spans="1:19" x14ac:dyDescent="0.25">
      <c r="A25" s="217" t="s">
        <v>117</v>
      </c>
      <c r="B25" s="152">
        <f>SUM(H35:S35)+C25</f>
        <v>2312800</v>
      </c>
      <c r="C25" s="218">
        <v>0</v>
      </c>
      <c r="O25" s="209"/>
      <c r="P25" s="209"/>
      <c r="Q25" s="209"/>
      <c r="R25" s="209"/>
    </row>
    <row r="26" spans="1:19" x14ac:dyDescent="0.25">
      <c r="A26" s="217" t="s">
        <v>118</v>
      </c>
      <c r="B26" s="152">
        <f>SUM(H36:S36)+C26</f>
        <v>6335.5451847394152</v>
      </c>
      <c r="C26" s="236">
        <f>D20/D21</f>
        <v>6335.5451847394152</v>
      </c>
      <c r="G26" s="242" t="s">
        <v>185</v>
      </c>
      <c r="O26" s="209"/>
      <c r="P26" s="209"/>
      <c r="Q26" s="209"/>
      <c r="R26" s="209"/>
    </row>
    <row r="27" spans="1:19" x14ac:dyDescent="0.25">
      <c r="A27" s="217" t="s">
        <v>119</v>
      </c>
      <c r="B27" s="152">
        <f>SUM(H37:S37)+C27</f>
        <v>2312800</v>
      </c>
      <c r="C27" s="218">
        <v>0</v>
      </c>
      <c r="G27" s="82" t="s">
        <v>124</v>
      </c>
      <c r="O27" s="209"/>
      <c r="P27" s="209"/>
      <c r="Q27" s="209"/>
      <c r="R27" s="209"/>
    </row>
    <row r="28" spans="1:19" x14ac:dyDescent="0.25">
      <c r="A28" s="102" t="s">
        <v>115</v>
      </c>
      <c r="B28" s="107"/>
      <c r="C28" s="198"/>
      <c r="D28" s="197"/>
      <c r="E28" s="197"/>
      <c r="F28" s="197"/>
      <c r="G28" s="212" t="s">
        <v>133</v>
      </c>
      <c r="H28" s="213">
        <v>4</v>
      </c>
      <c r="O28" s="209"/>
      <c r="P28" s="209"/>
      <c r="Q28" s="209"/>
      <c r="R28" s="209"/>
    </row>
    <row r="29" spans="1:19" x14ac:dyDescent="0.25">
      <c r="A29" s="217" t="s">
        <v>8</v>
      </c>
      <c r="B29" s="152">
        <f>SUM(H39:S39)+SUM(H43:S43)+C29</f>
        <v>15309072466.666666</v>
      </c>
      <c r="C29" s="218">
        <v>0</v>
      </c>
      <c r="D29" s="197"/>
      <c r="E29" s="197"/>
      <c r="F29" s="197"/>
      <c r="H29" s="365" t="s">
        <v>129</v>
      </c>
      <c r="I29" s="365"/>
      <c r="J29" s="365"/>
      <c r="K29" s="365"/>
      <c r="L29" s="365"/>
      <c r="M29" s="365"/>
      <c r="N29" s="365"/>
      <c r="O29" s="365"/>
      <c r="P29" s="365"/>
      <c r="Q29" s="365"/>
      <c r="R29" s="365"/>
      <c r="S29" s="365"/>
    </row>
    <row r="30" spans="1:19" x14ac:dyDescent="0.25">
      <c r="A30" s="217" t="s">
        <v>120</v>
      </c>
      <c r="B30" s="152">
        <f>SUM(H40:S40)+SUM(H44:S44)+C30</f>
        <v>2090406200</v>
      </c>
      <c r="C30" s="218">
        <v>0</v>
      </c>
      <c r="D30" s="197"/>
      <c r="E30" s="197"/>
      <c r="F30" s="19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15309072466.666666</v>
      </c>
      <c r="C31" s="218">
        <v>0</v>
      </c>
      <c r="D31" s="197"/>
      <c r="E31" s="197"/>
      <c r="F31" s="197"/>
      <c r="G31" s="102" t="s">
        <v>42</v>
      </c>
      <c r="H31" s="213">
        <v>0</v>
      </c>
      <c r="I31" s="213">
        <v>0</v>
      </c>
      <c r="J31" s="213">
        <v>0</v>
      </c>
      <c r="K31" s="213">
        <v>0</v>
      </c>
      <c r="L31" s="213">
        <v>0</v>
      </c>
      <c r="M31" s="213">
        <v>0</v>
      </c>
      <c r="N31" s="213">
        <v>0</v>
      </c>
      <c r="O31" s="213">
        <v>0</v>
      </c>
      <c r="P31" s="213">
        <v>0</v>
      </c>
      <c r="Q31" s="213">
        <v>0</v>
      </c>
      <c r="R31" s="213">
        <v>0</v>
      </c>
      <c r="S31" s="213">
        <v>0</v>
      </c>
    </row>
    <row r="32" spans="1:19" ht="14.1" customHeight="1" x14ac:dyDescent="0.25">
      <c r="A32" s="356" t="s">
        <v>190</v>
      </c>
      <c r="B32" s="357"/>
      <c r="C32" s="358"/>
      <c r="D32" s="197"/>
      <c r="E32" s="197"/>
      <c r="F32" s="197"/>
      <c r="G32" s="102" t="s">
        <v>43</v>
      </c>
      <c r="H32" s="301">
        <v>81</v>
      </c>
      <c r="I32" s="300">
        <f>H32</f>
        <v>81</v>
      </c>
      <c r="J32" s="300">
        <f>-H32</f>
        <v>-81</v>
      </c>
      <c r="K32" s="300">
        <f>-H32</f>
        <v>-81</v>
      </c>
      <c r="L32" s="213">
        <v>0</v>
      </c>
      <c r="M32" s="213">
        <v>0</v>
      </c>
      <c r="N32" s="213">
        <v>0</v>
      </c>
      <c r="O32" s="213">
        <v>0</v>
      </c>
      <c r="P32" s="213">
        <v>0</v>
      </c>
      <c r="Q32" s="213">
        <v>0</v>
      </c>
      <c r="R32" s="213">
        <v>0</v>
      </c>
      <c r="S32" s="213">
        <v>0</v>
      </c>
    </row>
    <row r="33" spans="1:19" ht="15" customHeight="1" x14ac:dyDescent="0.25">
      <c r="A33" s="359"/>
      <c r="B33" s="360"/>
      <c r="C33" s="361"/>
      <c r="D33" s="197"/>
      <c r="E33" s="197"/>
      <c r="F33" s="197"/>
      <c r="G33" s="102" t="s">
        <v>44</v>
      </c>
      <c r="H33" s="301">
        <v>27</v>
      </c>
      <c r="I33" s="300">
        <f>-H33</f>
        <v>-27</v>
      </c>
      <c r="J33" s="300">
        <f>-H33</f>
        <v>-27</v>
      </c>
      <c r="K33" s="300">
        <f>H33</f>
        <v>27</v>
      </c>
      <c r="L33" s="213">
        <v>0</v>
      </c>
      <c r="M33" s="213">
        <v>0</v>
      </c>
      <c r="N33" s="213">
        <v>0</v>
      </c>
      <c r="O33" s="213">
        <v>0</v>
      </c>
      <c r="P33" s="213">
        <v>0</v>
      </c>
      <c r="Q33" s="213">
        <v>0</v>
      </c>
      <c r="R33" s="213">
        <v>0</v>
      </c>
      <c r="S33" s="213">
        <v>0</v>
      </c>
    </row>
    <row r="34" spans="1:19" x14ac:dyDescent="0.25">
      <c r="A34" s="362"/>
      <c r="B34" s="363"/>
      <c r="C34" s="364"/>
      <c r="G34" s="82" t="s">
        <v>130</v>
      </c>
      <c r="H34" s="273"/>
      <c r="I34" s="274"/>
      <c r="J34" s="274"/>
      <c r="K34" s="275"/>
    </row>
    <row r="35" spans="1:19" x14ac:dyDescent="0.25">
      <c r="A35" s="220" t="s">
        <v>186</v>
      </c>
      <c r="B35" s="220"/>
      <c r="C35" s="220"/>
      <c r="D35" s="197"/>
      <c r="E35" s="197"/>
      <c r="F35" s="197"/>
      <c r="G35" s="102" t="s">
        <v>117</v>
      </c>
      <c r="H35" s="295">
        <f>D10</f>
        <v>578200</v>
      </c>
      <c r="I35" s="295">
        <f>H35</f>
        <v>578200</v>
      </c>
      <c r="J35" s="295">
        <f t="shared" ref="J35:K35" si="1">I35</f>
        <v>578200</v>
      </c>
      <c r="K35" s="295">
        <f t="shared" si="1"/>
        <v>578200</v>
      </c>
      <c r="L35" s="213">
        <v>0</v>
      </c>
      <c r="M35" s="213">
        <v>0</v>
      </c>
      <c r="N35" s="213">
        <v>0</v>
      </c>
      <c r="O35" s="213">
        <v>0</v>
      </c>
      <c r="P35" s="213">
        <v>0</v>
      </c>
      <c r="Q35" s="213">
        <v>0</v>
      </c>
      <c r="R35" s="213">
        <v>0</v>
      </c>
      <c r="S35" s="213">
        <v>0</v>
      </c>
    </row>
    <row r="36" spans="1:19" x14ac:dyDescent="0.25">
      <c r="A36" s="81" t="s">
        <v>109</v>
      </c>
      <c r="D36" s="197"/>
      <c r="E36" s="197"/>
      <c r="F36" s="197" t="s">
        <v>397</v>
      </c>
      <c r="G36" s="102" t="s">
        <v>118</v>
      </c>
      <c r="H36" s="294">
        <v>0</v>
      </c>
      <c r="I36" s="294">
        <v>0</v>
      </c>
      <c r="J36" s="294">
        <v>0</v>
      </c>
      <c r="K36" s="294">
        <v>0</v>
      </c>
      <c r="L36" s="213">
        <v>0</v>
      </c>
      <c r="M36" s="213">
        <v>0</v>
      </c>
      <c r="N36" s="213">
        <v>0</v>
      </c>
      <c r="O36" s="213">
        <v>0</v>
      </c>
      <c r="P36" s="213">
        <v>0</v>
      </c>
      <c r="Q36" s="213">
        <v>0</v>
      </c>
      <c r="R36" s="213">
        <v>0</v>
      </c>
      <c r="S36" s="213">
        <v>0</v>
      </c>
    </row>
    <row r="37" spans="1:19" x14ac:dyDescent="0.25">
      <c r="A37" s="102" t="s">
        <v>187</v>
      </c>
      <c r="B37" s="213">
        <v>0</v>
      </c>
      <c r="C37" s="209"/>
      <c r="D37" s="197"/>
      <c r="E37" s="197"/>
      <c r="F37" s="197"/>
      <c r="G37" s="102" t="s">
        <v>119</v>
      </c>
      <c r="H37" s="295">
        <f>H35</f>
        <v>578200</v>
      </c>
      <c r="I37" s="295">
        <f t="shared" ref="I37:K37" si="2">I35</f>
        <v>578200</v>
      </c>
      <c r="J37" s="295">
        <f t="shared" si="2"/>
        <v>578200</v>
      </c>
      <c r="K37" s="295">
        <f t="shared" si="2"/>
        <v>578200</v>
      </c>
      <c r="L37" s="213">
        <v>0</v>
      </c>
      <c r="M37" s="213">
        <v>0</v>
      </c>
      <c r="N37" s="213">
        <v>0</v>
      </c>
      <c r="O37" s="213">
        <v>0</v>
      </c>
      <c r="P37" s="213">
        <v>0</v>
      </c>
      <c r="Q37" s="213">
        <v>0</v>
      </c>
      <c r="R37" s="213">
        <v>0</v>
      </c>
      <c r="S37" s="213">
        <v>0</v>
      </c>
    </row>
    <row r="38" spans="1:19" x14ac:dyDescent="0.25">
      <c r="A38" s="102" t="s">
        <v>188</v>
      </c>
      <c r="B38" s="213">
        <v>0</v>
      </c>
      <c r="C38" s="209"/>
      <c r="D38" s="197"/>
      <c r="E38" s="197"/>
      <c r="F38" s="197"/>
      <c r="G38" s="82" t="s">
        <v>131</v>
      </c>
      <c r="H38" s="273"/>
      <c r="I38" s="274"/>
      <c r="J38" s="274"/>
      <c r="K38" s="275"/>
    </row>
    <row r="39" spans="1:19" x14ac:dyDescent="0.25">
      <c r="A39" s="102" t="s">
        <v>189</v>
      </c>
      <c r="B39" s="213">
        <v>0</v>
      </c>
      <c r="C39" s="209"/>
      <c r="D39" s="197"/>
      <c r="E39" s="197"/>
      <c r="F39" s="197"/>
      <c r="G39" s="102" t="s">
        <v>8</v>
      </c>
      <c r="H39" s="271">
        <f>D13</f>
        <v>33697916.666666664</v>
      </c>
      <c r="I39" s="271">
        <f>H39</f>
        <v>33697916.666666664</v>
      </c>
      <c r="J39" s="271">
        <f t="shared" ref="J39:K39" si="3">I39</f>
        <v>33697916.666666664</v>
      </c>
      <c r="K39" s="271">
        <f t="shared" si="3"/>
        <v>33697916.666666664</v>
      </c>
      <c r="L39" s="213">
        <v>0</v>
      </c>
      <c r="M39" s="213">
        <v>0</v>
      </c>
      <c r="N39" s="213">
        <v>0</v>
      </c>
      <c r="O39" s="213">
        <v>0</v>
      </c>
      <c r="P39" s="213">
        <v>0</v>
      </c>
      <c r="Q39" s="213">
        <v>0</v>
      </c>
      <c r="R39" s="213">
        <v>0</v>
      </c>
      <c r="S39" s="213">
        <v>0</v>
      </c>
    </row>
    <row r="40" spans="1:19" x14ac:dyDescent="0.25">
      <c r="A40" s="149" t="s">
        <v>110</v>
      </c>
      <c r="D40" s="197"/>
      <c r="E40" s="197"/>
      <c r="F40" s="197"/>
      <c r="G40" s="102" t="s">
        <v>120</v>
      </c>
      <c r="H40" s="271">
        <f>D12</f>
        <v>101093750</v>
      </c>
      <c r="I40" s="271">
        <f t="shared" ref="I40:K40" si="4">H40</f>
        <v>101093750</v>
      </c>
      <c r="J40" s="271">
        <f t="shared" si="4"/>
        <v>101093750</v>
      </c>
      <c r="K40" s="271">
        <f t="shared" si="4"/>
        <v>101093750</v>
      </c>
      <c r="L40" s="213">
        <v>0</v>
      </c>
      <c r="M40" s="213">
        <v>0</v>
      </c>
      <c r="N40" s="213">
        <v>0</v>
      </c>
      <c r="O40" s="213">
        <v>0</v>
      </c>
      <c r="P40" s="213">
        <v>0</v>
      </c>
      <c r="Q40" s="213">
        <v>0</v>
      </c>
      <c r="R40" s="213">
        <v>0</v>
      </c>
      <c r="S40" s="213">
        <v>0</v>
      </c>
    </row>
    <row r="41" spans="1:19" x14ac:dyDescent="0.25">
      <c r="A41" s="102" t="s">
        <v>187</v>
      </c>
      <c r="B41" s="213">
        <v>0</v>
      </c>
      <c r="C41" s="209"/>
      <c r="G41" s="102" t="s">
        <v>116</v>
      </c>
      <c r="H41" s="271">
        <f>D14</f>
        <v>33697916.666666664</v>
      </c>
      <c r="I41" s="271">
        <f t="shared" ref="I41:K41" si="5">H41</f>
        <v>33697916.666666664</v>
      </c>
      <c r="J41" s="271">
        <f t="shared" si="5"/>
        <v>33697916.666666664</v>
      </c>
      <c r="K41" s="271">
        <f t="shared" si="5"/>
        <v>33697916.666666664</v>
      </c>
      <c r="L41" s="213">
        <v>0</v>
      </c>
      <c r="M41" s="213">
        <v>0</v>
      </c>
      <c r="N41" s="213">
        <v>0</v>
      </c>
      <c r="O41" s="213">
        <v>0</v>
      </c>
      <c r="P41" s="213">
        <v>0</v>
      </c>
      <c r="Q41" s="213">
        <v>0</v>
      </c>
      <c r="R41" s="213">
        <v>0</v>
      </c>
      <c r="S41" s="213">
        <v>0</v>
      </c>
    </row>
    <row r="42" spans="1:19" x14ac:dyDescent="0.25">
      <c r="A42" s="102" t="s">
        <v>188</v>
      </c>
      <c r="B42" s="213">
        <v>0</v>
      </c>
      <c r="C42" s="209"/>
      <c r="D42" s="216"/>
      <c r="E42" s="216"/>
      <c r="F42" s="216"/>
      <c r="G42" s="82" t="s">
        <v>125</v>
      </c>
    </row>
    <row r="43" spans="1:19" x14ac:dyDescent="0.25">
      <c r="A43" s="102" t="s">
        <v>189</v>
      </c>
      <c r="B43" s="213">
        <v>0</v>
      </c>
      <c r="C43" s="209"/>
      <c r="G43" s="102" t="s">
        <v>8</v>
      </c>
      <c r="H43" s="152">
        <f>H36*H33^2+H37*H32^2</f>
        <v>3793570200</v>
      </c>
      <c r="I43" s="152">
        <f t="shared" ref="I43:S43" si="6">I36*I33^2+I37*I32^2</f>
        <v>3793570200</v>
      </c>
      <c r="J43" s="152">
        <f t="shared" si="6"/>
        <v>3793570200</v>
      </c>
      <c r="K43" s="152">
        <f t="shared" si="6"/>
        <v>3793570200</v>
      </c>
      <c r="L43" s="105">
        <f t="shared" si="6"/>
        <v>0</v>
      </c>
      <c r="M43" s="105">
        <f t="shared" si="6"/>
        <v>0</v>
      </c>
      <c r="N43" s="105">
        <f t="shared" si="6"/>
        <v>0</v>
      </c>
      <c r="O43" s="105">
        <f t="shared" si="6"/>
        <v>0</v>
      </c>
      <c r="P43" s="105">
        <f t="shared" si="6"/>
        <v>0</v>
      </c>
      <c r="Q43" s="105">
        <f t="shared" si="6"/>
        <v>0</v>
      </c>
      <c r="R43" s="105">
        <f t="shared" si="6"/>
        <v>0</v>
      </c>
      <c r="S43" s="105">
        <f t="shared" si="6"/>
        <v>0</v>
      </c>
    </row>
    <row r="44" spans="1:19" x14ac:dyDescent="0.25">
      <c r="A44" s="214" t="s">
        <v>207</v>
      </c>
      <c r="D44" s="236"/>
      <c r="E44" s="236"/>
      <c r="F44" s="236"/>
      <c r="G44" s="102" t="s">
        <v>120</v>
      </c>
      <c r="H44" s="152">
        <f>H35*H33^2+H37*H31^2</f>
        <v>421507800</v>
      </c>
      <c r="I44" s="152">
        <f t="shared" ref="I44:S44" si="7">I35*I33^2+I37*I31^2</f>
        <v>421507800</v>
      </c>
      <c r="J44" s="152">
        <f t="shared" si="7"/>
        <v>421507800</v>
      </c>
      <c r="K44" s="152">
        <f t="shared" si="7"/>
        <v>421507800</v>
      </c>
      <c r="L44" s="105">
        <f t="shared" si="7"/>
        <v>0</v>
      </c>
      <c r="M44" s="105">
        <f t="shared" si="7"/>
        <v>0</v>
      </c>
      <c r="N44" s="105">
        <f t="shared" si="7"/>
        <v>0</v>
      </c>
      <c r="O44" s="105">
        <f t="shared" si="7"/>
        <v>0</v>
      </c>
      <c r="P44" s="105">
        <f t="shared" si="7"/>
        <v>0</v>
      </c>
      <c r="Q44" s="105">
        <f t="shared" si="7"/>
        <v>0</v>
      </c>
      <c r="R44" s="105">
        <f t="shared" si="7"/>
        <v>0</v>
      </c>
      <c r="S44" s="105">
        <f t="shared" si="7"/>
        <v>0</v>
      </c>
    </row>
    <row r="45" spans="1:19" x14ac:dyDescent="0.25">
      <c r="A45" s="102" t="s">
        <v>121</v>
      </c>
      <c r="B45" s="105">
        <f>SQRT((H47^2+I47^2+J47^2+K47^2+L47^2+M47^2+N47^2+O47^2+P47^2+Q47^2+R47^2+S47^2)/H$28)</f>
        <v>5.0000000000000001E-3</v>
      </c>
      <c r="C45" s="197"/>
      <c r="D45" s="218"/>
      <c r="E45" s="218"/>
      <c r="F45" s="218"/>
      <c r="G45" s="102" t="s">
        <v>116</v>
      </c>
      <c r="H45" s="152">
        <f>H35*H32^2+H36*H31^2</f>
        <v>3793570200</v>
      </c>
      <c r="I45" s="152">
        <f t="shared" ref="I45:S45" si="8">I35*I32^2+I36*I31^2</f>
        <v>3793570200</v>
      </c>
      <c r="J45" s="152">
        <f t="shared" si="8"/>
        <v>3793570200</v>
      </c>
      <c r="K45" s="152">
        <f t="shared" si="8"/>
        <v>3793570200</v>
      </c>
      <c r="L45" s="105">
        <f t="shared" si="8"/>
        <v>0</v>
      </c>
      <c r="M45" s="105">
        <f t="shared" si="8"/>
        <v>0</v>
      </c>
      <c r="N45" s="105">
        <f t="shared" si="8"/>
        <v>0</v>
      </c>
      <c r="O45" s="105">
        <f t="shared" si="8"/>
        <v>0</v>
      </c>
      <c r="P45" s="105">
        <f t="shared" si="8"/>
        <v>0</v>
      </c>
      <c r="Q45" s="105">
        <f t="shared" si="8"/>
        <v>0</v>
      </c>
      <c r="R45" s="105">
        <f t="shared" si="8"/>
        <v>0</v>
      </c>
      <c r="S45" s="105">
        <f t="shared" si="8"/>
        <v>0</v>
      </c>
    </row>
    <row r="46" spans="1:19" x14ac:dyDescent="0.25">
      <c r="A46" s="102" t="s">
        <v>122</v>
      </c>
      <c r="B46" s="105">
        <f>SQRT((H48^2+I48^2+J48^2+K48^2+L48^2+M48^2+N48^2+O48^2+P48^2+Q48^2+R48^2+S48^2)/H$28)</f>
        <v>5.0000000000000001E-3</v>
      </c>
      <c r="C46" s="197"/>
      <c r="D46" s="218"/>
      <c r="E46" s="218"/>
      <c r="F46" s="218"/>
      <c r="G46" s="82" t="s">
        <v>307</v>
      </c>
    </row>
    <row r="47" spans="1:19" x14ac:dyDescent="0.25">
      <c r="A47" s="102" t="s">
        <v>123</v>
      </c>
      <c r="B47" s="105">
        <f>SQRT((H49^2+I49^2+J49^2+K49^2+L49^2+M49^2+N49^2+O49^2+P49^2+Q49^2+R49^2+S49^2)/H$28)</f>
        <v>5.0000000000000001E-3</v>
      </c>
      <c r="C47" s="19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6.172839506172841E-5</v>
      </c>
      <c r="C48" s="19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52">
        <f>SQRT((H52^2+I52^2+J52^2+K52^2+L52^2+M52^2+N52^2+O52^2+P52^2+Q52^2+R52^2+S52^2+B38^2)/H$28)</f>
        <v>1.8518518518518558E-4</v>
      </c>
      <c r="C49" s="19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52">
        <f>SQRT((H53^2+I53^2+J53^2+K53^2+L53^2+M53^2+N53^2+O53^2+P53^2+Q53^2+R53^2+S53^2+B39^2)/H$28)</f>
        <v>6.172839506172841E-5</v>
      </c>
      <c r="C50" s="197"/>
      <c r="D50" s="218"/>
      <c r="E50" s="218"/>
      <c r="F50" s="218"/>
      <c r="G50" s="82" t="s">
        <v>252</v>
      </c>
    </row>
    <row r="51" spans="1:20" ht="47.25" x14ac:dyDescent="0.25">
      <c r="A51" s="215" t="s">
        <v>208</v>
      </c>
      <c r="B51" s="107"/>
      <c r="G51" s="102" t="s">
        <v>85</v>
      </c>
      <c r="H51" s="152">
        <f>H98</f>
        <v>6.1728394299649452E-5</v>
      </c>
      <c r="I51" s="152">
        <f t="shared" ref="I51:S51" si="10">I98</f>
        <v>6.1728394299649452E-5</v>
      </c>
      <c r="J51" s="152">
        <f t="shared" si="10"/>
        <v>6.1728395823807354E-5</v>
      </c>
      <c r="K51" s="152">
        <f t="shared" si="10"/>
        <v>6.1728395823807354E-5</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ht="15" customHeight="1" x14ac:dyDescent="0.25">
      <c r="A52" s="102" t="s">
        <v>121</v>
      </c>
      <c r="B52" s="105">
        <f>SQRT((H55^2+I55^2+J55^2+K55^2+L55^2+M55^2+N55^2+O55^2+P55^2+Q55^2+R55^2+S55^2)/H$28)</f>
        <v>0</v>
      </c>
      <c r="C52" s="197"/>
      <c r="D52" s="219"/>
      <c r="E52" s="219"/>
      <c r="F52" s="219"/>
      <c r="G52" s="102" t="s">
        <v>86</v>
      </c>
      <c r="H52" s="152">
        <f>H102</f>
        <v>1.8518517832647488E-4</v>
      </c>
      <c r="I52" s="152">
        <f t="shared" ref="I52:S52" si="11">I102</f>
        <v>1.8518519204389601E-4</v>
      </c>
      <c r="J52" s="152">
        <f t="shared" si="11"/>
        <v>1.8518519204389601E-4</v>
      </c>
      <c r="K52" s="152">
        <f t="shared" si="11"/>
        <v>1.8518517832647488E-4</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SQRT((H56^2+I56^2+J56^2+K56^2+L56^2+M56^2+N56^2+O56^2+P56^2+Q56^2+R56^2+S56^2)/H$28)</f>
        <v>0</v>
      </c>
      <c r="C53" s="197"/>
      <c r="D53" s="219"/>
      <c r="E53" s="219"/>
      <c r="F53" s="219"/>
      <c r="G53" s="102" t="s">
        <v>87</v>
      </c>
      <c r="H53" s="152">
        <f>H106</f>
        <v>6.1728394299649452E-5</v>
      </c>
      <c r="I53" s="152">
        <f t="shared" ref="I53:S53" si="12">I106</f>
        <v>6.1728394299649452E-5</v>
      </c>
      <c r="J53" s="152">
        <f t="shared" si="12"/>
        <v>6.1728395823807354E-5</v>
      </c>
      <c r="K53" s="152">
        <f t="shared" si="12"/>
        <v>6.1728395823807354E-5</v>
      </c>
      <c r="L53" s="152">
        <f t="shared" si="12"/>
        <v>0</v>
      </c>
      <c r="M53" s="152">
        <f t="shared" si="12"/>
        <v>0</v>
      </c>
      <c r="N53" s="152">
        <f t="shared" si="12"/>
        <v>0</v>
      </c>
      <c r="O53" s="152">
        <f t="shared" si="12"/>
        <v>0</v>
      </c>
      <c r="P53" s="152">
        <f t="shared" si="12"/>
        <v>0</v>
      </c>
      <c r="Q53" s="152">
        <f t="shared" si="12"/>
        <v>0</v>
      </c>
      <c r="R53" s="152">
        <f t="shared" si="12"/>
        <v>0</v>
      </c>
      <c r="S53" s="152">
        <f t="shared" si="12"/>
        <v>0</v>
      </c>
    </row>
    <row r="54" spans="1:20" x14ac:dyDescent="0.25">
      <c r="A54" s="102" t="s">
        <v>123</v>
      </c>
      <c r="B54" s="105">
        <f>SQRT((H57^2+I57^2+J57^2+K57^2+L57^2+M57^2+N57^2+O57^2+P57^2+Q57^2+R57^2+S57^2)/H$28)</f>
        <v>0</v>
      </c>
      <c r="C54" s="197"/>
      <c r="D54" s="219"/>
      <c r="E54" s="219"/>
      <c r="F54" s="219"/>
      <c r="G54" s="82" t="s">
        <v>333</v>
      </c>
    </row>
    <row r="55" spans="1:20" x14ac:dyDescent="0.25">
      <c r="A55" s="102" t="s">
        <v>85</v>
      </c>
      <c r="B55" s="105">
        <f>SQRT((H59^2+I59^2+J59^2+K59^2+L59^2+M59^2+N59^2+O59^2+P59^2+Q59^2+R59^2+S59^2+B41^2)/H$28)</f>
        <v>0</v>
      </c>
      <c r="C55" s="197"/>
      <c r="D55" s="220"/>
      <c r="E55" s="220"/>
      <c r="F55" s="220"/>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19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197"/>
      <c r="D57" s="209"/>
      <c r="E57" s="209"/>
      <c r="F57" s="209"/>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D58" s="209"/>
      <c r="E58" s="209"/>
      <c r="F58" s="209"/>
      <c r="G58" s="82" t="s">
        <v>253</v>
      </c>
    </row>
    <row r="59" spans="1:20" x14ac:dyDescent="0.25">
      <c r="B59" s="107"/>
      <c r="D59" s="209"/>
      <c r="E59" s="209"/>
      <c r="F59" s="209"/>
      <c r="G59" s="102" t="s">
        <v>85</v>
      </c>
      <c r="H59" s="152">
        <f>H113</f>
        <v>0</v>
      </c>
      <c r="I59" s="152">
        <f t="shared" ref="I59:S59" si="13">I113</f>
        <v>0</v>
      </c>
      <c r="J59" s="152">
        <f t="shared" si="13"/>
        <v>0</v>
      </c>
      <c r="K59" s="152">
        <f t="shared" si="13"/>
        <v>0</v>
      </c>
      <c r="L59" s="152">
        <f t="shared" si="13"/>
        <v>0</v>
      </c>
      <c r="M59" s="152">
        <f t="shared" si="13"/>
        <v>0</v>
      </c>
      <c r="N59" s="152">
        <f t="shared" si="13"/>
        <v>0</v>
      </c>
      <c r="O59" s="152">
        <f t="shared" si="13"/>
        <v>0</v>
      </c>
      <c r="P59" s="152">
        <f t="shared" si="13"/>
        <v>0</v>
      </c>
      <c r="Q59" s="152">
        <f t="shared" si="13"/>
        <v>0</v>
      </c>
      <c r="R59" s="152">
        <f t="shared" si="13"/>
        <v>0</v>
      </c>
      <c r="S59" s="152">
        <f t="shared" si="13"/>
        <v>0</v>
      </c>
    </row>
    <row r="60" spans="1:20" x14ac:dyDescent="0.25">
      <c r="G60" s="102" t="s">
        <v>86</v>
      </c>
      <c r="H60" s="152">
        <f>H118</f>
        <v>0</v>
      </c>
      <c r="I60" s="152">
        <f t="shared" ref="I60:S60" si="14">I118</f>
        <v>0</v>
      </c>
      <c r="J60" s="152">
        <f t="shared" si="14"/>
        <v>0</v>
      </c>
      <c r="K60" s="152">
        <f t="shared" si="14"/>
        <v>0</v>
      </c>
      <c r="L60" s="152">
        <f t="shared" si="14"/>
        <v>0</v>
      </c>
      <c r="M60" s="152">
        <f t="shared" si="14"/>
        <v>0</v>
      </c>
      <c r="N60" s="152">
        <f t="shared" si="14"/>
        <v>0</v>
      </c>
      <c r="O60" s="152">
        <f t="shared" si="14"/>
        <v>0</v>
      </c>
      <c r="P60" s="152">
        <f t="shared" si="14"/>
        <v>0</v>
      </c>
      <c r="Q60" s="152">
        <f t="shared" si="14"/>
        <v>0</v>
      </c>
      <c r="R60" s="152">
        <f t="shared" si="14"/>
        <v>0</v>
      </c>
      <c r="S60" s="152">
        <f t="shared" si="14"/>
        <v>0</v>
      </c>
    </row>
    <row r="61" spans="1:20" x14ac:dyDescent="0.25">
      <c r="D61" s="209"/>
      <c r="E61" s="209"/>
      <c r="F61" s="209"/>
      <c r="G61" s="102" t="s">
        <v>87</v>
      </c>
      <c r="H61" s="152">
        <f>H123</f>
        <v>0</v>
      </c>
      <c r="I61" s="152">
        <f t="shared" ref="I61:S61" si="15">I123</f>
        <v>0</v>
      </c>
      <c r="J61" s="152">
        <f t="shared" si="15"/>
        <v>0</v>
      </c>
      <c r="K61" s="152">
        <f t="shared" si="15"/>
        <v>0</v>
      </c>
      <c r="L61" s="152">
        <f t="shared" si="15"/>
        <v>0</v>
      </c>
      <c r="M61" s="152">
        <f t="shared" si="15"/>
        <v>0</v>
      </c>
      <c r="N61" s="152">
        <f t="shared" si="15"/>
        <v>0</v>
      </c>
      <c r="O61" s="152">
        <f t="shared" si="15"/>
        <v>0</v>
      </c>
      <c r="P61" s="152">
        <f t="shared" si="15"/>
        <v>0</v>
      </c>
      <c r="Q61" s="152">
        <f t="shared" si="15"/>
        <v>0</v>
      </c>
      <c r="R61" s="152">
        <f t="shared" si="15"/>
        <v>0</v>
      </c>
      <c r="S61" s="152">
        <f t="shared" si="15"/>
        <v>0</v>
      </c>
    </row>
    <row r="62" spans="1:20" x14ac:dyDescent="0.25">
      <c r="D62" s="209"/>
      <c r="E62" s="209"/>
      <c r="F62" s="209"/>
      <c r="G62" s="214" t="s">
        <v>298</v>
      </c>
    </row>
    <row r="63" spans="1:20" x14ac:dyDescent="0.25">
      <c r="D63" s="209"/>
      <c r="E63" s="209"/>
      <c r="F63" s="209"/>
      <c r="I63" s="118"/>
      <c r="J63" s="118"/>
      <c r="K63" s="118"/>
      <c r="L63" s="118"/>
      <c r="M63" s="118"/>
      <c r="N63" s="118"/>
    </row>
    <row r="64" spans="1:20" x14ac:dyDescent="0.25">
      <c r="D64" s="209"/>
      <c r="E64" s="209"/>
      <c r="F64" s="209"/>
      <c r="G64" s="119"/>
      <c r="H64" s="344"/>
      <c r="I64" s="222"/>
      <c r="J64" s="222"/>
      <c r="K64" s="222"/>
      <c r="L64" s="222"/>
      <c r="M64" s="222"/>
      <c r="N64" s="222"/>
      <c r="O64" s="118"/>
    </row>
    <row r="65" spans="4:15" x14ac:dyDescent="0.25">
      <c r="D65" s="209"/>
      <c r="E65" s="209"/>
      <c r="F65" s="209"/>
      <c r="G65" s="119"/>
      <c r="H65" s="344"/>
      <c r="I65" s="222"/>
      <c r="J65" s="222"/>
      <c r="K65" s="222"/>
      <c r="L65" s="222"/>
      <c r="M65" s="222"/>
      <c r="N65" s="222"/>
      <c r="O65" s="118"/>
    </row>
    <row r="66" spans="4:15" x14ac:dyDescent="0.25">
      <c r="D66" s="209"/>
      <c r="E66" s="209"/>
      <c r="F66" s="209"/>
      <c r="G66" s="119"/>
      <c r="H66" s="344"/>
      <c r="I66" s="222"/>
      <c r="J66" s="222"/>
      <c r="K66" s="222"/>
      <c r="L66" s="222"/>
      <c r="M66" s="222"/>
      <c r="N66" s="222"/>
      <c r="O66" s="118"/>
    </row>
    <row r="67" spans="4:15" x14ac:dyDescent="0.25">
      <c r="D67" s="209"/>
      <c r="E67" s="209"/>
      <c r="F67" s="209"/>
      <c r="G67" s="119"/>
      <c r="H67" s="344"/>
      <c r="I67" s="222"/>
      <c r="J67" s="222"/>
      <c r="K67" s="222"/>
      <c r="L67" s="222"/>
      <c r="M67" s="222"/>
      <c r="N67" s="222"/>
      <c r="O67" s="118"/>
    </row>
    <row r="68" spans="4:15" x14ac:dyDescent="0.25">
      <c r="D68" s="209"/>
      <c r="E68" s="209"/>
      <c r="F68" s="209"/>
      <c r="G68" s="119"/>
      <c r="H68" s="344"/>
      <c r="I68" s="222"/>
      <c r="J68" s="222"/>
      <c r="K68" s="222"/>
      <c r="L68" s="222"/>
      <c r="M68" s="222"/>
      <c r="N68" s="222"/>
      <c r="O68" s="118"/>
    </row>
    <row r="69" spans="4:15" x14ac:dyDescent="0.25">
      <c r="D69" s="209"/>
      <c r="E69" s="209"/>
      <c r="F69" s="209"/>
      <c r="G69" s="119"/>
      <c r="H69" s="344"/>
      <c r="I69" s="222"/>
      <c r="J69" s="222"/>
      <c r="K69" s="222"/>
      <c r="L69" s="222"/>
      <c r="M69" s="222"/>
      <c r="N69" s="222"/>
      <c r="O69" s="118"/>
    </row>
    <row r="70" spans="4:15" x14ac:dyDescent="0.25">
      <c r="D70" s="209"/>
      <c r="E70" s="209"/>
      <c r="F70" s="209"/>
      <c r="G70" s="119"/>
      <c r="H70" s="195"/>
      <c r="I70" s="222"/>
      <c r="J70" s="222"/>
      <c r="K70" s="222"/>
      <c r="L70" s="222"/>
      <c r="M70" s="222"/>
      <c r="N70" s="222"/>
      <c r="O70" s="118"/>
    </row>
    <row r="71" spans="4:15" x14ac:dyDescent="0.25">
      <c r="D71" s="209"/>
      <c r="E71" s="209"/>
      <c r="F71" s="209"/>
      <c r="G71" s="119"/>
      <c r="H71" s="195"/>
      <c r="I71" s="222"/>
      <c r="J71" s="222"/>
      <c r="K71" s="222"/>
      <c r="L71" s="222"/>
      <c r="M71" s="222"/>
      <c r="N71" s="222"/>
      <c r="O71" s="118"/>
    </row>
    <row r="72" spans="4:15" x14ac:dyDescent="0.25">
      <c r="D72" s="209"/>
      <c r="E72" s="209"/>
      <c r="F72" s="209"/>
      <c r="G72" s="119"/>
      <c r="H72" s="195"/>
      <c r="I72" s="222"/>
      <c r="J72" s="222"/>
      <c r="K72" s="222"/>
      <c r="L72" s="222"/>
      <c r="M72" s="222"/>
      <c r="N72" s="222"/>
      <c r="O72" s="118"/>
    </row>
    <row r="73" spans="4:15" x14ac:dyDescent="0.25">
      <c r="D73" s="209"/>
      <c r="E73" s="209"/>
      <c r="F73" s="209"/>
      <c r="G73" s="119"/>
      <c r="H73" s="195"/>
      <c r="I73" s="222"/>
      <c r="J73" s="222"/>
      <c r="K73" s="222"/>
      <c r="L73" s="222"/>
      <c r="M73" s="222"/>
      <c r="N73" s="222"/>
      <c r="O73" s="118"/>
    </row>
    <row r="74" spans="4:15" x14ac:dyDescent="0.25">
      <c r="D74" s="209"/>
      <c r="E74" s="209"/>
      <c r="F74" s="209"/>
      <c r="G74" s="119"/>
      <c r="H74" s="195"/>
      <c r="I74" s="222"/>
      <c r="J74" s="222"/>
      <c r="K74" s="222"/>
      <c r="L74" s="222"/>
      <c r="M74" s="222"/>
      <c r="N74" s="222"/>
      <c r="O74" s="118"/>
    </row>
    <row r="75" spans="4:15" x14ac:dyDescent="0.25">
      <c r="D75" s="209"/>
      <c r="E75" s="209"/>
      <c r="F75" s="209"/>
      <c r="G75" s="119"/>
      <c r="H75" s="195"/>
      <c r="I75" s="222"/>
      <c r="J75" s="222"/>
      <c r="K75" s="222"/>
      <c r="L75" s="222"/>
      <c r="M75" s="222"/>
      <c r="N75" s="222"/>
      <c r="O75" s="118"/>
    </row>
    <row r="76" spans="4:15" x14ac:dyDescent="0.25">
      <c r="D76" s="209"/>
      <c r="E76" s="209"/>
      <c r="F76" s="209"/>
      <c r="G76" s="119"/>
      <c r="H76" s="195"/>
      <c r="I76" s="222"/>
      <c r="J76" s="222"/>
      <c r="K76" s="222"/>
      <c r="L76" s="222"/>
      <c r="M76" s="222"/>
      <c r="N76" s="222"/>
      <c r="O76" s="118"/>
    </row>
    <row r="77" spans="4:15" x14ac:dyDescent="0.25">
      <c r="D77" s="209"/>
      <c r="E77" s="209"/>
      <c r="F77" s="209"/>
      <c r="G77" s="119"/>
      <c r="H77" s="195"/>
      <c r="I77" s="222"/>
      <c r="J77" s="222"/>
      <c r="K77" s="222"/>
      <c r="L77" s="222"/>
      <c r="M77" s="222"/>
      <c r="N77" s="222"/>
      <c r="O77" s="118"/>
    </row>
    <row r="78" spans="4:15" x14ac:dyDescent="0.25">
      <c r="D78" s="209"/>
      <c r="E78" s="209"/>
      <c r="F78" s="209"/>
      <c r="G78" s="119"/>
      <c r="H78" s="195"/>
      <c r="I78" s="222"/>
      <c r="J78" s="222"/>
      <c r="K78" s="222"/>
      <c r="L78" s="222"/>
      <c r="M78" s="222"/>
      <c r="N78" s="222"/>
      <c r="O78" s="118"/>
    </row>
    <row r="79" spans="4:15" x14ac:dyDescent="0.25">
      <c r="D79" s="209"/>
      <c r="E79" s="209"/>
      <c r="F79" s="209"/>
      <c r="G79" s="119"/>
      <c r="H79" s="195"/>
      <c r="I79" s="222"/>
      <c r="J79" s="222"/>
      <c r="K79" s="222"/>
      <c r="L79" s="222"/>
      <c r="M79" s="222"/>
      <c r="N79" s="222"/>
      <c r="O79" s="118"/>
    </row>
    <row r="80" spans="4:15" x14ac:dyDescent="0.25">
      <c r="D80" s="209"/>
      <c r="E80" s="209"/>
      <c r="F80" s="209"/>
      <c r="G80" s="119"/>
      <c r="H80" s="195"/>
      <c r="I80" s="222"/>
      <c r="J80" s="222"/>
      <c r="K80" s="222"/>
      <c r="L80" s="222"/>
      <c r="M80" s="222"/>
      <c r="N80" s="222"/>
      <c r="O80" s="118"/>
    </row>
    <row r="81" spans="1:19" x14ac:dyDescent="0.25">
      <c r="D81" s="209"/>
      <c r="E81" s="209"/>
      <c r="F81" s="209"/>
      <c r="G81" s="119"/>
      <c r="H81" s="195"/>
      <c r="I81" s="222"/>
      <c r="J81" s="222"/>
      <c r="K81" s="222"/>
      <c r="L81" s="222"/>
      <c r="M81" s="222"/>
      <c r="N81" s="222"/>
      <c r="O81" s="118"/>
    </row>
    <row r="82" spans="1:19" x14ac:dyDescent="0.25">
      <c r="A82" s="102"/>
      <c r="B82" s="209"/>
      <c r="C82" s="209"/>
      <c r="D82" s="209"/>
      <c r="E82" s="209"/>
      <c r="F82" s="209"/>
      <c r="G82" s="119"/>
      <c r="H82" s="195"/>
      <c r="I82" s="222"/>
      <c r="J82" s="222"/>
      <c r="K82" s="222"/>
      <c r="L82" s="222"/>
      <c r="M82" s="222"/>
      <c r="N82" s="222"/>
      <c r="O82" s="118"/>
    </row>
    <row r="83" spans="1:19" x14ac:dyDescent="0.25">
      <c r="A83" s="102"/>
      <c r="B83" s="209"/>
      <c r="C83" s="209"/>
      <c r="D83" s="209"/>
      <c r="E83" s="209"/>
      <c r="F83" s="209"/>
      <c r="G83" s="119"/>
      <c r="H83" s="195"/>
      <c r="I83" s="222"/>
      <c r="J83" s="222"/>
      <c r="K83" s="222"/>
      <c r="L83" s="222"/>
      <c r="M83" s="222"/>
      <c r="N83" s="222"/>
      <c r="O83" s="118"/>
    </row>
    <row r="84" spans="1:19" x14ac:dyDescent="0.25">
      <c r="A84" s="102"/>
      <c r="B84" s="209"/>
      <c r="C84" s="209"/>
      <c r="D84" s="209"/>
      <c r="E84" s="209"/>
      <c r="F84" s="209"/>
      <c r="G84" s="119"/>
      <c r="H84" s="195"/>
      <c r="I84" s="222"/>
      <c r="J84" s="222"/>
      <c r="K84" s="222"/>
      <c r="L84" s="222"/>
      <c r="M84" s="222"/>
      <c r="N84" s="222"/>
      <c r="O84" s="118"/>
    </row>
    <row r="85" spans="1:19" x14ac:dyDescent="0.25">
      <c r="A85" s="102"/>
      <c r="B85" s="209"/>
      <c r="C85" s="209"/>
      <c r="D85" s="209"/>
      <c r="E85" s="209"/>
      <c r="F85" s="209"/>
      <c r="G85" s="119"/>
      <c r="H85" s="195"/>
      <c r="I85" s="222"/>
      <c r="J85" s="222"/>
      <c r="K85" s="222"/>
      <c r="L85" s="222"/>
      <c r="M85" s="222"/>
      <c r="N85" s="222"/>
      <c r="O85" s="118"/>
    </row>
    <row r="86" spans="1:19" x14ac:dyDescent="0.25">
      <c r="A86" s="102" t="s">
        <v>309</v>
      </c>
      <c r="B86" s="209"/>
      <c r="C86" s="209"/>
      <c r="D86" s="209"/>
      <c r="E86" s="209"/>
      <c r="F86" s="209"/>
      <c r="G86" s="119"/>
      <c r="H86" s="195"/>
      <c r="I86" s="222"/>
      <c r="J86" s="222"/>
      <c r="K86" s="222"/>
      <c r="L86" s="222"/>
      <c r="M86" s="222"/>
      <c r="N86" s="222"/>
      <c r="O86" s="118"/>
    </row>
    <row r="87" spans="1:19" x14ac:dyDescent="0.25">
      <c r="A87" s="102"/>
      <c r="B87" s="209"/>
      <c r="C87" s="209"/>
      <c r="D87" s="209"/>
      <c r="E87" s="209"/>
      <c r="F87" s="209"/>
      <c r="G87" s="119"/>
      <c r="H87" s="195"/>
      <c r="I87" s="222"/>
      <c r="J87" s="222"/>
      <c r="K87" s="222"/>
      <c r="L87" s="222"/>
      <c r="M87" s="222"/>
      <c r="N87" s="222"/>
      <c r="O87" s="118"/>
    </row>
    <row r="88" spans="1:19" x14ac:dyDescent="0.25">
      <c r="A88" s="102"/>
      <c r="B88" s="209"/>
      <c r="C88" s="209"/>
      <c r="D88" s="209"/>
      <c r="E88" s="209"/>
      <c r="F88" s="209"/>
      <c r="G88" s="119"/>
      <c r="H88" s="195"/>
      <c r="I88" s="222"/>
      <c r="J88" s="222"/>
      <c r="K88" s="222"/>
      <c r="L88" s="222"/>
      <c r="M88" s="222"/>
      <c r="N88" s="222"/>
      <c r="O88" s="118"/>
    </row>
    <row r="89" spans="1:19" x14ac:dyDescent="0.25">
      <c r="A89" s="102"/>
      <c r="B89" s="209"/>
      <c r="C89" s="209"/>
      <c r="D89" s="209"/>
      <c r="E89" s="209"/>
      <c r="F89" s="209"/>
      <c r="G89" s="119"/>
      <c r="H89" s="195"/>
      <c r="I89" s="222"/>
      <c r="J89" s="222"/>
      <c r="K89" s="222"/>
      <c r="L89" s="222"/>
      <c r="M89" s="222"/>
      <c r="N89" s="222"/>
      <c r="O89" s="118"/>
    </row>
    <row r="90" spans="1:19" x14ac:dyDescent="0.25">
      <c r="A90" s="102"/>
      <c r="B90" s="209"/>
      <c r="C90" s="209"/>
      <c r="D90" s="209"/>
      <c r="E90" s="209"/>
      <c r="F90" s="209"/>
      <c r="G90" s="119"/>
      <c r="H90" s="195"/>
      <c r="I90" s="222"/>
      <c r="J90" s="222"/>
      <c r="K90" s="222"/>
      <c r="L90" s="222"/>
      <c r="M90" s="222"/>
      <c r="N90" s="222"/>
      <c r="O90" s="118"/>
    </row>
    <row r="91" spans="1:19" x14ac:dyDescent="0.25">
      <c r="A91" s="102"/>
      <c r="B91" s="209"/>
      <c r="C91" s="209"/>
      <c r="D91" s="209"/>
      <c r="E91" s="209"/>
      <c r="F91" s="209"/>
    </row>
    <row r="92" spans="1:19" x14ac:dyDescent="0.25">
      <c r="A92" s="102"/>
      <c r="B92" s="209"/>
      <c r="C92" s="209"/>
      <c r="D92" s="209"/>
      <c r="E92" s="209"/>
      <c r="F92" s="209"/>
    </row>
    <row r="93" spans="1:19" x14ac:dyDescent="0.25">
      <c r="A93" s="102"/>
      <c r="B93" s="209"/>
      <c r="C93" s="209"/>
      <c r="D93" s="209"/>
      <c r="E93" s="209"/>
      <c r="F93" s="209"/>
    </row>
    <row r="94" spans="1:19" x14ac:dyDescent="0.25">
      <c r="A94" s="102"/>
      <c r="B94" s="209"/>
      <c r="C94" s="209"/>
      <c r="G94" s="223" t="s">
        <v>260</v>
      </c>
    </row>
    <row r="95" spans="1:19" x14ac:dyDescent="0.25">
      <c r="A95" s="102"/>
      <c r="B95" s="209"/>
      <c r="C95" s="209"/>
      <c r="G95" s="211"/>
      <c r="H95" s="149" t="s">
        <v>261</v>
      </c>
    </row>
    <row r="96" spans="1:19" x14ac:dyDescent="0.25">
      <c r="A96" s="102"/>
      <c r="B96" s="209"/>
      <c r="C96" s="209"/>
      <c r="G96" s="149" t="s">
        <v>259</v>
      </c>
      <c r="H96" s="81">
        <f t="shared" ref="H96:S96" si="16">H48/ABS(H33+0.000001)</f>
        <v>1.8518517832647488E-4</v>
      </c>
      <c r="I96" s="81">
        <f t="shared" si="16"/>
        <v>1.8518519204389601E-4</v>
      </c>
      <c r="J96" s="81">
        <f t="shared" si="16"/>
        <v>1.8518519204389601E-4</v>
      </c>
      <c r="K96" s="81">
        <f t="shared" si="16"/>
        <v>1.8518517832647488E-4</v>
      </c>
      <c r="L96" s="81">
        <f t="shared" si="16"/>
        <v>0</v>
      </c>
      <c r="M96" s="81">
        <f t="shared" si="16"/>
        <v>0</v>
      </c>
      <c r="N96" s="81">
        <f t="shared" si="16"/>
        <v>0</v>
      </c>
      <c r="O96" s="81">
        <f t="shared" si="16"/>
        <v>0</v>
      </c>
      <c r="P96" s="81">
        <f t="shared" si="16"/>
        <v>0</v>
      </c>
      <c r="Q96" s="81">
        <f t="shared" si="16"/>
        <v>0</v>
      </c>
      <c r="R96" s="81">
        <f t="shared" si="16"/>
        <v>0</v>
      </c>
      <c r="S96" s="81">
        <f t="shared" si="16"/>
        <v>0</v>
      </c>
    </row>
    <row r="97" spans="1:19" x14ac:dyDescent="0.25">
      <c r="A97" s="102"/>
      <c r="B97" s="209"/>
      <c r="C97" s="209"/>
      <c r="G97" s="149" t="s">
        <v>259</v>
      </c>
      <c r="H97" s="81">
        <f t="shared" ref="H97:S97" si="17">H49/ABS(H32+0.000001)</f>
        <v>6.1728394299649452E-5</v>
      </c>
      <c r="I97" s="81">
        <f t="shared" si="17"/>
        <v>6.1728394299649452E-5</v>
      </c>
      <c r="J97" s="81">
        <f t="shared" si="17"/>
        <v>6.1728395823807354E-5</v>
      </c>
      <c r="K97" s="81">
        <f t="shared" si="17"/>
        <v>6.1728395823807354E-5</v>
      </c>
      <c r="L97" s="81">
        <f t="shared" si="17"/>
        <v>0</v>
      </c>
      <c r="M97" s="81">
        <f t="shared" si="17"/>
        <v>0</v>
      </c>
      <c r="N97" s="81">
        <f t="shared" si="17"/>
        <v>0</v>
      </c>
      <c r="O97" s="81">
        <f t="shared" si="17"/>
        <v>0</v>
      </c>
      <c r="P97" s="81">
        <f t="shared" si="17"/>
        <v>0</v>
      </c>
      <c r="Q97" s="81">
        <f t="shared" si="17"/>
        <v>0</v>
      </c>
      <c r="R97" s="81">
        <f t="shared" si="17"/>
        <v>0</v>
      </c>
      <c r="S97" s="81">
        <f t="shared" si="17"/>
        <v>0</v>
      </c>
    </row>
    <row r="98" spans="1:19" x14ac:dyDescent="0.25">
      <c r="A98" s="102"/>
      <c r="B98" s="209"/>
      <c r="C98" s="209"/>
      <c r="G98" s="81" t="s">
        <v>257</v>
      </c>
      <c r="H98" s="224">
        <f>IF(MIN(H96,H97)&gt;1,0,MIN(H96,H97))</f>
        <v>6.1728394299649452E-5</v>
      </c>
      <c r="I98" s="224">
        <f t="shared" ref="I98:S98" si="18">IF(MIN(I96,I97)&gt;1,0,MIN(I96,I97))</f>
        <v>6.1728394299649452E-5</v>
      </c>
      <c r="J98" s="224">
        <f t="shared" si="18"/>
        <v>6.1728395823807354E-5</v>
      </c>
      <c r="K98" s="224">
        <f t="shared" si="18"/>
        <v>6.1728395823807354E-5</v>
      </c>
      <c r="L98" s="224">
        <f t="shared" si="18"/>
        <v>0</v>
      </c>
      <c r="M98" s="224">
        <f t="shared" si="18"/>
        <v>0</v>
      </c>
      <c r="N98" s="224">
        <f t="shared" si="18"/>
        <v>0</v>
      </c>
      <c r="O98" s="224">
        <f t="shared" si="18"/>
        <v>0</v>
      </c>
      <c r="P98" s="224">
        <f t="shared" si="18"/>
        <v>0</v>
      </c>
      <c r="Q98" s="224">
        <f t="shared" si="18"/>
        <v>0</v>
      </c>
      <c r="R98" s="224">
        <f t="shared" si="18"/>
        <v>0</v>
      </c>
      <c r="S98" s="224">
        <f t="shared" si="18"/>
        <v>0</v>
      </c>
    </row>
    <row r="99" spans="1:19" x14ac:dyDescent="0.25">
      <c r="A99" s="102"/>
      <c r="B99" s="209"/>
      <c r="C99" s="209"/>
      <c r="H99" s="149" t="s">
        <v>262</v>
      </c>
      <c r="I99" s="149"/>
      <c r="J99" s="149"/>
      <c r="K99" s="149"/>
      <c r="L99" s="149"/>
      <c r="M99" s="149"/>
      <c r="N99" s="149"/>
      <c r="O99" s="149"/>
      <c r="P99" s="149"/>
      <c r="Q99" s="149"/>
      <c r="R99" s="149"/>
      <c r="S99" s="149"/>
    </row>
    <row r="100" spans="1:19" x14ac:dyDescent="0.25">
      <c r="A100" s="102"/>
      <c r="B100" s="209"/>
      <c r="C100" s="209"/>
      <c r="G100" s="115" t="s">
        <v>259</v>
      </c>
      <c r="H100" s="154">
        <f t="shared" ref="H100:S100" si="19">H49/ABS(H31+0.000001)</f>
        <v>5000</v>
      </c>
      <c r="I100" s="154">
        <f t="shared" si="19"/>
        <v>5000</v>
      </c>
      <c r="J100" s="154">
        <f t="shared" si="19"/>
        <v>5000</v>
      </c>
      <c r="K100" s="154">
        <f t="shared" si="19"/>
        <v>5000</v>
      </c>
      <c r="L100" s="154">
        <f t="shared" si="19"/>
        <v>0</v>
      </c>
      <c r="M100" s="154">
        <f t="shared" si="19"/>
        <v>0</v>
      </c>
      <c r="N100" s="154">
        <f t="shared" si="19"/>
        <v>0</v>
      </c>
      <c r="O100" s="154">
        <f t="shared" si="19"/>
        <v>0</v>
      </c>
      <c r="P100" s="154">
        <f t="shared" si="19"/>
        <v>0</v>
      </c>
      <c r="Q100" s="154">
        <f t="shared" si="19"/>
        <v>0</v>
      </c>
      <c r="R100" s="154">
        <f t="shared" si="19"/>
        <v>0</v>
      </c>
      <c r="S100" s="154">
        <f t="shared" si="19"/>
        <v>0</v>
      </c>
    </row>
    <row r="101" spans="1:19" x14ac:dyDescent="0.25">
      <c r="A101" s="102"/>
      <c r="B101" s="209"/>
      <c r="C101" s="209"/>
      <c r="G101" s="115" t="s">
        <v>259</v>
      </c>
      <c r="H101" s="225">
        <f t="shared" ref="H101:S101" si="20">H47/ABS(H33+0.000001)</f>
        <v>1.8518517832647488E-4</v>
      </c>
      <c r="I101" s="225">
        <f t="shared" si="20"/>
        <v>1.8518519204389601E-4</v>
      </c>
      <c r="J101" s="225">
        <f t="shared" si="20"/>
        <v>1.8518519204389601E-4</v>
      </c>
      <c r="K101" s="225">
        <f t="shared" si="20"/>
        <v>1.8518517832647488E-4</v>
      </c>
      <c r="L101" s="225">
        <f t="shared" si="20"/>
        <v>0</v>
      </c>
      <c r="M101" s="225">
        <f t="shared" si="20"/>
        <v>0</v>
      </c>
      <c r="N101" s="225">
        <f t="shared" si="20"/>
        <v>0</v>
      </c>
      <c r="O101" s="225">
        <f t="shared" si="20"/>
        <v>0</v>
      </c>
      <c r="P101" s="225">
        <f t="shared" si="20"/>
        <v>0</v>
      </c>
      <c r="Q101" s="225">
        <f t="shared" si="20"/>
        <v>0</v>
      </c>
      <c r="R101" s="225">
        <f t="shared" si="20"/>
        <v>0</v>
      </c>
      <c r="S101" s="225">
        <f t="shared" si="20"/>
        <v>0</v>
      </c>
    </row>
    <row r="102" spans="1:19" x14ac:dyDescent="0.25">
      <c r="A102" s="102"/>
      <c r="B102" s="209"/>
      <c r="C102" s="209"/>
      <c r="G102" s="81" t="s">
        <v>257</v>
      </c>
      <c r="H102" s="224">
        <f>IF(MIN(H100,H101)&gt;1,0,MIN(H100,H101))</f>
        <v>1.8518517832647488E-4</v>
      </c>
      <c r="I102" s="224">
        <f t="shared" ref="I102:S102" si="21">IF(MIN(I100,I101)&gt;1,0,MIN(I100,I101))</f>
        <v>1.8518519204389601E-4</v>
      </c>
      <c r="J102" s="224">
        <f t="shared" si="21"/>
        <v>1.8518519204389601E-4</v>
      </c>
      <c r="K102" s="224">
        <f t="shared" si="21"/>
        <v>1.8518517832647488E-4</v>
      </c>
      <c r="L102" s="224">
        <f t="shared" si="21"/>
        <v>0</v>
      </c>
      <c r="M102" s="224">
        <f t="shared" si="21"/>
        <v>0</v>
      </c>
      <c r="N102" s="224">
        <f t="shared" si="21"/>
        <v>0</v>
      </c>
      <c r="O102" s="224">
        <f t="shared" si="21"/>
        <v>0</v>
      </c>
      <c r="P102" s="224">
        <f t="shared" si="21"/>
        <v>0</v>
      </c>
      <c r="Q102" s="224">
        <f t="shared" si="21"/>
        <v>0</v>
      </c>
      <c r="R102" s="224">
        <f t="shared" si="21"/>
        <v>0</v>
      </c>
      <c r="S102" s="224">
        <f t="shared" si="21"/>
        <v>0</v>
      </c>
    </row>
    <row r="103" spans="1:19" x14ac:dyDescent="0.25">
      <c r="A103" s="102"/>
      <c r="B103" s="209"/>
      <c r="C103" s="209"/>
      <c r="H103" s="81" t="s">
        <v>263</v>
      </c>
    </row>
    <row r="104" spans="1:19" x14ac:dyDescent="0.25">
      <c r="A104" s="102"/>
      <c r="B104" s="209"/>
      <c r="C104" s="209"/>
      <c r="G104" s="149" t="s">
        <v>259</v>
      </c>
      <c r="H104" s="81">
        <f t="shared" ref="H104:S104" si="22">H48/ABS(H31+0.000001)</f>
        <v>5000</v>
      </c>
      <c r="I104" s="81">
        <f t="shared" si="22"/>
        <v>5000</v>
      </c>
      <c r="J104" s="81">
        <f t="shared" si="22"/>
        <v>5000</v>
      </c>
      <c r="K104" s="81">
        <f t="shared" si="22"/>
        <v>5000</v>
      </c>
      <c r="L104" s="81">
        <f t="shared" si="22"/>
        <v>0</v>
      </c>
      <c r="M104" s="81">
        <f t="shared" si="22"/>
        <v>0</v>
      </c>
      <c r="N104" s="81">
        <f t="shared" si="22"/>
        <v>0</v>
      </c>
      <c r="O104" s="81">
        <f t="shared" si="22"/>
        <v>0</v>
      </c>
      <c r="P104" s="81">
        <f t="shared" si="22"/>
        <v>0</v>
      </c>
      <c r="Q104" s="81">
        <f t="shared" si="22"/>
        <v>0</v>
      </c>
      <c r="R104" s="81">
        <f t="shared" si="22"/>
        <v>0</v>
      </c>
      <c r="S104" s="81">
        <f t="shared" si="22"/>
        <v>0</v>
      </c>
    </row>
    <row r="105" spans="1:19" x14ac:dyDescent="0.25">
      <c r="A105" s="102"/>
      <c r="B105" s="209"/>
      <c r="C105" s="209"/>
      <c r="G105" s="149" t="s">
        <v>259</v>
      </c>
      <c r="H105" s="81">
        <f t="shared" ref="H105:S105" si="23">H47/ABS(H32+0.000001)</f>
        <v>6.1728394299649452E-5</v>
      </c>
      <c r="I105" s="81">
        <f t="shared" si="23"/>
        <v>6.1728394299649452E-5</v>
      </c>
      <c r="J105" s="81">
        <f t="shared" si="23"/>
        <v>6.1728395823807354E-5</v>
      </c>
      <c r="K105" s="81">
        <f t="shared" si="23"/>
        <v>6.1728395823807354E-5</v>
      </c>
      <c r="L105" s="81">
        <f t="shared" si="23"/>
        <v>0</v>
      </c>
      <c r="M105" s="81">
        <f t="shared" si="23"/>
        <v>0</v>
      </c>
      <c r="N105" s="81">
        <f t="shared" si="23"/>
        <v>0</v>
      </c>
      <c r="O105" s="81">
        <f t="shared" si="23"/>
        <v>0</v>
      </c>
      <c r="P105" s="81">
        <f t="shared" si="23"/>
        <v>0</v>
      </c>
      <c r="Q105" s="81">
        <f t="shared" si="23"/>
        <v>0</v>
      </c>
      <c r="R105" s="81">
        <f t="shared" si="23"/>
        <v>0</v>
      </c>
      <c r="S105" s="81">
        <f t="shared" si="23"/>
        <v>0</v>
      </c>
    </row>
    <row r="106" spans="1:19" x14ac:dyDescent="0.25">
      <c r="A106" s="102"/>
      <c r="B106" s="209"/>
      <c r="C106" s="209"/>
      <c r="G106" s="81" t="s">
        <v>257</v>
      </c>
      <c r="H106" s="224">
        <f>IF(MIN(H104,H105)&gt;1,0,MIN(H104,H105))</f>
        <v>6.1728394299649452E-5</v>
      </c>
      <c r="I106" s="224">
        <f t="shared" ref="I106:S106" si="24">IF(MIN(I104,I105)&gt;1,0,MIN(I104,I105))</f>
        <v>6.1728394299649452E-5</v>
      </c>
      <c r="J106" s="224">
        <f t="shared" si="24"/>
        <v>6.1728395823807354E-5</v>
      </c>
      <c r="K106" s="224">
        <f t="shared" si="24"/>
        <v>6.1728395823807354E-5</v>
      </c>
      <c r="L106" s="224">
        <f t="shared" si="24"/>
        <v>0</v>
      </c>
      <c r="M106" s="224">
        <f t="shared" si="24"/>
        <v>0</v>
      </c>
      <c r="N106" s="224">
        <f t="shared" si="24"/>
        <v>0</v>
      </c>
      <c r="O106" s="224">
        <f t="shared" si="24"/>
        <v>0</v>
      </c>
      <c r="P106" s="224">
        <f t="shared" si="24"/>
        <v>0</v>
      </c>
      <c r="Q106" s="224">
        <f t="shared" si="24"/>
        <v>0</v>
      </c>
      <c r="R106" s="224">
        <f t="shared" si="24"/>
        <v>0</v>
      </c>
      <c r="S106" s="224">
        <f t="shared" si="24"/>
        <v>0</v>
      </c>
    </row>
    <row r="107" spans="1:19" x14ac:dyDescent="0.25">
      <c r="A107" s="102"/>
      <c r="B107" s="209"/>
      <c r="C107" s="209"/>
    </row>
    <row r="108" spans="1:19" x14ac:dyDescent="0.25">
      <c r="A108" s="102"/>
      <c r="B108" s="209"/>
      <c r="C108" s="209"/>
      <c r="G108" s="223" t="s">
        <v>308</v>
      </c>
      <c r="H108" s="223"/>
      <c r="I108" s="223"/>
      <c r="J108" s="223"/>
      <c r="K108" s="223"/>
      <c r="L108" s="223"/>
      <c r="M108" s="223"/>
      <c r="N108" s="223"/>
      <c r="O108" s="223"/>
      <c r="P108" s="223"/>
    </row>
    <row r="109" spans="1:19" x14ac:dyDescent="0.25">
      <c r="A109" s="102"/>
      <c r="B109" s="209"/>
      <c r="C109" s="209"/>
      <c r="H109" s="102" t="s">
        <v>254</v>
      </c>
      <c r="I109" s="102"/>
      <c r="J109" s="102"/>
      <c r="K109" s="102"/>
      <c r="L109" s="102"/>
      <c r="M109" s="102"/>
      <c r="N109" s="102"/>
      <c r="O109" s="102"/>
      <c r="P109" s="102"/>
      <c r="Q109" s="102"/>
      <c r="R109" s="102"/>
      <c r="S109" s="102"/>
    </row>
    <row r="110" spans="1:19" x14ac:dyDescent="0.25">
      <c r="A110" s="102"/>
      <c r="B110" s="209"/>
      <c r="C110" s="209"/>
      <c r="G110" s="149" t="s">
        <v>259</v>
      </c>
      <c r="H110" s="224">
        <f t="shared" ref="H110:S110" si="25">H56/(H33+0.000001)</f>
        <v>0</v>
      </c>
      <c r="I110" s="224">
        <f t="shared" si="25"/>
        <v>0</v>
      </c>
      <c r="J110" s="224">
        <f t="shared" si="25"/>
        <v>0</v>
      </c>
      <c r="K110" s="224">
        <f t="shared" si="25"/>
        <v>0</v>
      </c>
      <c r="L110" s="224">
        <f t="shared" si="25"/>
        <v>0</v>
      </c>
      <c r="M110" s="224">
        <f t="shared" si="25"/>
        <v>0</v>
      </c>
      <c r="N110" s="224">
        <f t="shared" si="25"/>
        <v>0</v>
      </c>
      <c r="O110" s="224">
        <f t="shared" si="25"/>
        <v>0</v>
      </c>
      <c r="P110" s="224">
        <f t="shared" si="25"/>
        <v>0</v>
      </c>
      <c r="Q110" s="224">
        <f t="shared" si="25"/>
        <v>0</v>
      </c>
      <c r="R110" s="224">
        <f t="shared" si="25"/>
        <v>0</v>
      </c>
      <c r="S110" s="224">
        <f t="shared" si="25"/>
        <v>0</v>
      </c>
    </row>
    <row r="111" spans="1:19" x14ac:dyDescent="0.25">
      <c r="A111" s="102"/>
      <c r="B111" s="209"/>
      <c r="C111" s="209"/>
      <c r="G111" s="149" t="s">
        <v>259</v>
      </c>
      <c r="H111" s="226">
        <f t="shared" ref="H111:S111" si="26">H57/(H32+0.000001)</f>
        <v>0</v>
      </c>
      <c r="I111" s="226">
        <f t="shared" si="26"/>
        <v>0</v>
      </c>
      <c r="J111" s="226">
        <f t="shared" si="26"/>
        <v>0</v>
      </c>
      <c r="K111" s="226">
        <f t="shared" si="26"/>
        <v>0</v>
      </c>
      <c r="L111" s="226">
        <f t="shared" si="26"/>
        <v>0</v>
      </c>
      <c r="M111" s="226">
        <f t="shared" si="26"/>
        <v>0</v>
      </c>
      <c r="N111" s="226">
        <f t="shared" si="26"/>
        <v>0</v>
      </c>
      <c r="O111" s="226">
        <f t="shared" si="26"/>
        <v>0</v>
      </c>
      <c r="P111" s="226">
        <f t="shared" si="26"/>
        <v>0</v>
      </c>
      <c r="Q111" s="226">
        <f t="shared" si="26"/>
        <v>0</v>
      </c>
      <c r="R111" s="226">
        <f t="shared" si="26"/>
        <v>0</v>
      </c>
      <c r="S111" s="226">
        <f t="shared" si="26"/>
        <v>0</v>
      </c>
    </row>
    <row r="112" spans="1:19" x14ac:dyDescent="0.25">
      <c r="G112" s="81" t="s">
        <v>258</v>
      </c>
      <c r="H112" s="144">
        <f>SIGN(H110+0.000000000001)*SIGN(H111+0.000000000001)</f>
        <v>1</v>
      </c>
      <c r="I112" s="144">
        <f t="shared" ref="I112:S112" si="27">SIGN(I110+0.000000000001)*SIGN(I111+0.000000000001)</f>
        <v>1</v>
      </c>
      <c r="J112" s="144">
        <f t="shared" si="27"/>
        <v>1</v>
      </c>
      <c r="K112" s="144">
        <f t="shared" si="27"/>
        <v>1</v>
      </c>
      <c r="L112" s="144">
        <f t="shared" si="27"/>
        <v>1</v>
      </c>
      <c r="M112" s="144">
        <f t="shared" si="27"/>
        <v>1</v>
      </c>
      <c r="N112" s="144">
        <f t="shared" si="27"/>
        <v>1</v>
      </c>
      <c r="O112" s="144">
        <f t="shared" si="27"/>
        <v>1</v>
      </c>
      <c r="P112" s="144">
        <f t="shared" si="27"/>
        <v>1</v>
      </c>
      <c r="Q112" s="144">
        <f t="shared" si="27"/>
        <v>1</v>
      </c>
      <c r="R112" s="144">
        <f t="shared" si="27"/>
        <v>1</v>
      </c>
      <c r="S112" s="144">
        <f t="shared" si="27"/>
        <v>1</v>
      </c>
    </row>
    <row r="113" spans="7:19" x14ac:dyDescent="0.25">
      <c r="G113" s="81" t="s">
        <v>257</v>
      </c>
      <c r="H113" s="224">
        <f>IF(H112*MIN(ABS(H110),ABS(H111))&gt;1,0,H112*MIN(ABS(H110),ABS(H111)))</f>
        <v>0</v>
      </c>
      <c r="I113" s="224">
        <f t="shared" ref="I113:S113" si="28">IF(I112*MIN(ABS(I110),ABS(I111))&gt;1,0,I112*MIN(ABS(I110),ABS(I111)))</f>
        <v>0</v>
      </c>
      <c r="J113" s="224">
        <f t="shared" si="28"/>
        <v>0</v>
      </c>
      <c r="K113" s="224">
        <f t="shared" si="28"/>
        <v>0</v>
      </c>
      <c r="L113" s="224">
        <f t="shared" si="28"/>
        <v>0</v>
      </c>
      <c r="M113" s="224">
        <f t="shared" si="28"/>
        <v>0</v>
      </c>
      <c r="N113" s="224">
        <f t="shared" si="28"/>
        <v>0</v>
      </c>
      <c r="O113" s="224">
        <f t="shared" si="28"/>
        <v>0</v>
      </c>
      <c r="P113" s="224">
        <f t="shared" si="28"/>
        <v>0</v>
      </c>
      <c r="Q113" s="224">
        <f t="shared" si="28"/>
        <v>0</v>
      </c>
      <c r="R113" s="224">
        <f t="shared" si="28"/>
        <v>0</v>
      </c>
      <c r="S113" s="224">
        <f t="shared" si="28"/>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29">-H57/(H31+0.000001)</f>
        <v>0</v>
      </c>
      <c r="I115" s="154">
        <f t="shared" si="29"/>
        <v>0</v>
      </c>
      <c r="J115" s="154">
        <f t="shared" si="29"/>
        <v>0</v>
      </c>
      <c r="K115" s="154">
        <f t="shared" si="29"/>
        <v>0</v>
      </c>
      <c r="L115" s="154">
        <f t="shared" si="29"/>
        <v>0</v>
      </c>
      <c r="M115" s="154">
        <f t="shared" si="29"/>
        <v>0</v>
      </c>
      <c r="N115" s="154">
        <f t="shared" si="29"/>
        <v>0</v>
      </c>
      <c r="O115" s="154">
        <f t="shared" si="29"/>
        <v>0</v>
      </c>
      <c r="P115" s="154">
        <f t="shared" si="29"/>
        <v>0</v>
      </c>
      <c r="Q115" s="154">
        <f t="shared" si="29"/>
        <v>0</v>
      </c>
      <c r="R115" s="154">
        <f t="shared" si="29"/>
        <v>0</v>
      </c>
      <c r="S115" s="154">
        <f t="shared" si="29"/>
        <v>0</v>
      </c>
    </row>
    <row r="116" spans="7:19" x14ac:dyDescent="0.25">
      <c r="G116" s="115" t="s">
        <v>259</v>
      </c>
      <c r="H116" s="154">
        <f t="shared" ref="H116:S116" si="30">H55/(H33+0.000001)</f>
        <v>0</v>
      </c>
      <c r="I116" s="154">
        <f t="shared" si="30"/>
        <v>0</v>
      </c>
      <c r="J116" s="154">
        <f t="shared" si="30"/>
        <v>0</v>
      </c>
      <c r="K116" s="154">
        <f t="shared" si="30"/>
        <v>0</v>
      </c>
      <c r="L116" s="154">
        <f t="shared" si="30"/>
        <v>0</v>
      </c>
      <c r="M116" s="154">
        <f t="shared" si="30"/>
        <v>0</v>
      </c>
      <c r="N116" s="154">
        <f t="shared" si="30"/>
        <v>0</v>
      </c>
      <c r="O116" s="154">
        <f t="shared" si="30"/>
        <v>0</v>
      </c>
      <c r="P116" s="154">
        <f t="shared" si="30"/>
        <v>0</v>
      </c>
      <c r="Q116" s="154">
        <f t="shared" si="30"/>
        <v>0</v>
      </c>
      <c r="R116" s="154">
        <f t="shared" si="30"/>
        <v>0</v>
      </c>
      <c r="S116" s="154">
        <f t="shared" si="30"/>
        <v>0</v>
      </c>
    </row>
    <row r="117" spans="7:19" x14ac:dyDescent="0.25">
      <c r="G117" s="154" t="s">
        <v>258</v>
      </c>
      <c r="H117" s="227">
        <f>SIGN(H115+0.000000000001)*SIGN(H116+0.000000000001)</f>
        <v>1</v>
      </c>
      <c r="I117" s="227">
        <f t="shared" ref="I117:S117" si="31">SIGN(I115+0.000000000001)*SIGN(I116+0.000000000001)</f>
        <v>1</v>
      </c>
      <c r="J117" s="227">
        <f t="shared" si="31"/>
        <v>1</v>
      </c>
      <c r="K117" s="227">
        <f t="shared" si="31"/>
        <v>1</v>
      </c>
      <c r="L117" s="227">
        <f t="shared" si="31"/>
        <v>1</v>
      </c>
      <c r="M117" s="227">
        <f t="shared" si="31"/>
        <v>1</v>
      </c>
      <c r="N117" s="227">
        <f t="shared" si="31"/>
        <v>1</v>
      </c>
      <c r="O117" s="227">
        <f t="shared" si="31"/>
        <v>1</v>
      </c>
      <c r="P117" s="227">
        <f t="shared" si="31"/>
        <v>1</v>
      </c>
      <c r="Q117" s="227">
        <f t="shared" si="31"/>
        <v>1</v>
      </c>
      <c r="R117" s="227">
        <f t="shared" si="31"/>
        <v>1</v>
      </c>
      <c r="S117" s="227">
        <f t="shared" si="31"/>
        <v>1</v>
      </c>
    </row>
    <row r="118" spans="7:19" x14ac:dyDescent="0.25">
      <c r="G118" s="154" t="s">
        <v>257</v>
      </c>
      <c r="H118" s="228">
        <f>IF(H117*MIN(ABS(H115),ABS(H116))&gt;1,0,H117*MIN(ABS(H115),ABS(H116)))</f>
        <v>0</v>
      </c>
      <c r="I118" s="228">
        <f t="shared" ref="I118:S118" si="32">IF(I117*MIN(ABS(I115),ABS(I116))&gt;1,0,I117*MIN(ABS(I115),ABS(I116)))</f>
        <v>0</v>
      </c>
      <c r="J118" s="228">
        <f t="shared" si="32"/>
        <v>0</v>
      </c>
      <c r="K118" s="228">
        <f t="shared" si="32"/>
        <v>0</v>
      </c>
      <c r="L118" s="228">
        <f t="shared" si="32"/>
        <v>0</v>
      </c>
      <c r="M118" s="228">
        <f t="shared" si="32"/>
        <v>0</v>
      </c>
      <c r="N118" s="228">
        <f t="shared" si="32"/>
        <v>0</v>
      </c>
      <c r="O118" s="228">
        <f t="shared" si="32"/>
        <v>0</v>
      </c>
      <c r="P118" s="228">
        <f t="shared" si="32"/>
        <v>0</v>
      </c>
      <c r="Q118" s="228">
        <f t="shared" si="32"/>
        <v>0</v>
      </c>
      <c r="R118" s="228">
        <f t="shared" si="32"/>
        <v>0</v>
      </c>
      <c r="S118" s="228">
        <f t="shared" si="32"/>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3">H56/(H31+0.000001)</f>
        <v>0</v>
      </c>
      <c r="I120" s="224">
        <f t="shared" si="33"/>
        <v>0</v>
      </c>
      <c r="J120" s="224">
        <f t="shared" si="33"/>
        <v>0</v>
      </c>
      <c r="K120" s="224">
        <f t="shared" si="33"/>
        <v>0</v>
      </c>
      <c r="L120" s="224">
        <f t="shared" si="33"/>
        <v>0</v>
      </c>
      <c r="M120" s="224">
        <f t="shared" si="33"/>
        <v>0</v>
      </c>
      <c r="N120" s="224">
        <f t="shared" si="33"/>
        <v>0</v>
      </c>
      <c r="O120" s="224">
        <f t="shared" si="33"/>
        <v>0</v>
      </c>
      <c r="P120" s="224">
        <f t="shared" si="33"/>
        <v>0</v>
      </c>
      <c r="Q120" s="224">
        <f t="shared" si="33"/>
        <v>0</v>
      </c>
      <c r="R120" s="224">
        <f t="shared" si="33"/>
        <v>0</v>
      </c>
      <c r="S120" s="224">
        <f t="shared" si="33"/>
        <v>0</v>
      </c>
    </row>
    <row r="121" spans="7:19" x14ac:dyDescent="0.25">
      <c r="G121" s="149" t="s">
        <v>259</v>
      </c>
      <c r="H121" s="81">
        <f t="shared" ref="H121:S121" si="34">H55/(H32+0.000001)</f>
        <v>0</v>
      </c>
      <c r="I121" s="81">
        <f t="shared" si="34"/>
        <v>0</v>
      </c>
      <c r="J121" s="81">
        <f t="shared" si="34"/>
        <v>0</v>
      </c>
      <c r="K121" s="81">
        <f t="shared" si="34"/>
        <v>0</v>
      </c>
      <c r="L121" s="81">
        <f t="shared" si="34"/>
        <v>0</v>
      </c>
      <c r="M121" s="81">
        <f t="shared" si="34"/>
        <v>0</v>
      </c>
      <c r="N121" s="81">
        <f t="shared" si="34"/>
        <v>0</v>
      </c>
      <c r="O121" s="81">
        <f t="shared" si="34"/>
        <v>0</v>
      </c>
      <c r="P121" s="81">
        <f t="shared" si="34"/>
        <v>0</v>
      </c>
      <c r="Q121" s="81">
        <f t="shared" si="34"/>
        <v>0</v>
      </c>
      <c r="R121" s="81">
        <f t="shared" si="34"/>
        <v>0</v>
      </c>
      <c r="S121" s="81">
        <f t="shared" si="34"/>
        <v>0</v>
      </c>
    </row>
    <row r="122" spans="7:19" x14ac:dyDescent="0.25">
      <c r="G122" s="81" t="s">
        <v>258</v>
      </c>
      <c r="H122" s="144">
        <f>SIGN(H120+0.000000000001)*SIGN(H121+0.000000000001)</f>
        <v>1</v>
      </c>
      <c r="I122" s="144">
        <f t="shared" ref="I122:S122" si="35">SIGN(I120+0.000000000001)*SIGN(I121+0.000000000001)</f>
        <v>1</v>
      </c>
      <c r="J122" s="144">
        <f t="shared" si="35"/>
        <v>1</v>
      </c>
      <c r="K122" s="144">
        <f t="shared" si="35"/>
        <v>1</v>
      </c>
      <c r="L122" s="144">
        <f t="shared" si="35"/>
        <v>1</v>
      </c>
      <c r="M122" s="144">
        <f t="shared" si="35"/>
        <v>1</v>
      </c>
      <c r="N122" s="144">
        <f t="shared" si="35"/>
        <v>1</v>
      </c>
      <c r="O122" s="144">
        <f t="shared" si="35"/>
        <v>1</v>
      </c>
      <c r="P122" s="144">
        <f t="shared" si="35"/>
        <v>1</v>
      </c>
      <c r="Q122" s="144">
        <f t="shared" si="35"/>
        <v>1</v>
      </c>
      <c r="R122" s="144">
        <f t="shared" si="35"/>
        <v>1</v>
      </c>
      <c r="S122" s="144">
        <f t="shared" si="35"/>
        <v>1</v>
      </c>
    </row>
    <row r="123" spans="7:19" x14ac:dyDescent="0.25">
      <c r="G123" s="81" t="s">
        <v>257</v>
      </c>
      <c r="H123" s="224">
        <f>IF(H122*MIN(ABS(H120),ABS(H121))&gt;1,0,H122*MIN(ABS(H120),ABS(H121)))</f>
        <v>0</v>
      </c>
      <c r="I123" s="224">
        <f t="shared" ref="I123:S123" si="36">IF(I122*MIN(ABS(I120),ABS(I121))&gt;1,0,I122*MIN(ABS(I120),ABS(I121)))</f>
        <v>0</v>
      </c>
      <c r="J123" s="224">
        <f t="shared" si="36"/>
        <v>0</v>
      </c>
      <c r="K123" s="224">
        <f t="shared" si="36"/>
        <v>0</v>
      </c>
      <c r="L123" s="224">
        <f t="shared" si="36"/>
        <v>0</v>
      </c>
      <c r="M123" s="224">
        <f t="shared" si="36"/>
        <v>0</v>
      </c>
      <c r="N123" s="224">
        <f t="shared" si="36"/>
        <v>0</v>
      </c>
      <c r="O123" s="224">
        <f t="shared" si="36"/>
        <v>0</v>
      </c>
      <c r="P123" s="224">
        <f t="shared" si="36"/>
        <v>0</v>
      </c>
      <c r="Q123" s="224">
        <f t="shared" si="36"/>
        <v>0</v>
      </c>
      <c r="R123" s="224">
        <f t="shared" si="36"/>
        <v>0</v>
      </c>
      <c r="S123" s="224">
        <f t="shared" si="36"/>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7">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topLeftCell="C31" zoomScale="85" zoomScaleNormal="85" zoomScalePageLayoutView="200" workbookViewId="0">
      <selection activeCell="E40" sqref="E40"/>
    </sheetView>
  </sheetViews>
  <sheetFormatPr defaultColWidth="11" defaultRowHeight="15.75" x14ac:dyDescent="0.25"/>
  <cols>
    <col min="1" max="1" width="45.375" style="81" customWidth="1"/>
    <col min="2" max="2" width="16.875" style="81" customWidth="1"/>
    <col min="3" max="3" width="38" style="81" customWidth="1"/>
    <col min="4" max="4" width="10.625" style="81" customWidth="1"/>
    <col min="5" max="6" width="7.125" style="81" customWidth="1"/>
    <col min="7" max="12" width="9.625" style="81" customWidth="1"/>
    <col min="13" max="16384" width="11" style="81"/>
  </cols>
  <sheetData>
    <row r="1" spans="1:18" x14ac:dyDescent="0.25">
      <c r="A1" s="205" t="str">
        <f>'CSs and Loads'!A45</f>
        <v>CS 2</v>
      </c>
      <c r="B1" s="205" t="str">
        <f>'CSs and Loads'!A55</f>
        <v>vertical column</v>
      </c>
    </row>
    <row r="2" spans="1:18" ht="16.5" thickBot="1" x14ac:dyDescent="0.3">
      <c r="A2" s="82" t="s">
        <v>132</v>
      </c>
      <c r="E2" s="176"/>
      <c r="F2" s="176"/>
      <c r="G2" s="176"/>
      <c r="H2" s="176"/>
      <c r="I2" s="242"/>
      <c r="J2" s="176"/>
      <c r="K2" s="176"/>
      <c r="L2" s="243"/>
      <c r="M2" s="243"/>
      <c r="N2" s="207"/>
    </row>
    <row r="3" spans="1:18" x14ac:dyDescent="0.25">
      <c r="A3" s="208" t="s">
        <v>111</v>
      </c>
      <c r="D3" s="241"/>
      <c r="E3" s="345" t="s">
        <v>372</v>
      </c>
      <c r="F3" s="346"/>
      <c r="G3" s="346"/>
      <c r="H3" s="346"/>
      <c r="I3" s="346"/>
      <c r="J3" s="346"/>
      <c r="K3" s="346"/>
      <c r="L3" s="346"/>
      <c r="M3" s="347"/>
      <c r="N3" s="181"/>
      <c r="O3" s="209"/>
      <c r="P3" s="209"/>
      <c r="Q3" s="209"/>
      <c r="R3" s="209"/>
    </row>
    <row r="4" spans="1:18" x14ac:dyDescent="0.25">
      <c r="A4" s="162" t="s">
        <v>321</v>
      </c>
      <c r="B4" s="179" t="s">
        <v>399</v>
      </c>
      <c r="C4" s="82" t="s">
        <v>369</v>
      </c>
      <c r="D4" s="169"/>
      <c r="E4" s="353" t="s">
        <v>366</v>
      </c>
      <c r="F4" s="354"/>
      <c r="G4" s="354"/>
      <c r="H4" s="354"/>
      <c r="I4" s="354"/>
      <c r="J4" s="354"/>
      <c r="K4" s="354"/>
      <c r="L4" s="354"/>
      <c r="M4" s="355"/>
      <c r="N4" s="181"/>
    </row>
    <row r="5" spans="1:18" x14ac:dyDescent="0.25">
      <c r="A5" s="161" t="s">
        <v>339</v>
      </c>
      <c r="B5" s="179" t="s">
        <v>407</v>
      </c>
      <c r="C5" s="102" t="s">
        <v>381</v>
      </c>
      <c r="D5" s="169">
        <v>75</v>
      </c>
      <c r="E5" s="182" t="s">
        <v>282</v>
      </c>
      <c r="F5" s="371" t="s">
        <v>285</v>
      </c>
      <c r="G5" s="312">
        <f>B11^3/(3*B7*B18)</f>
        <v>3.609539678528891E-4</v>
      </c>
      <c r="H5" s="144">
        <v>0</v>
      </c>
      <c r="I5" s="144">
        <v>0</v>
      </c>
      <c r="J5" s="144">
        <v>0</v>
      </c>
      <c r="K5" s="308">
        <v>0</v>
      </c>
      <c r="L5" s="312">
        <f>-(B11^2)/(2*B7*B18)</f>
        <v>-1.0828619035586674E-6</v>
      </c>
      <c r="M5" s="183" t="s">
        <v>276</v>
      </c>
      <c r="N5" s="181"/>
    </row>
    <row r="6" spans="1:18" x14ac:dyDescent="0.25">
      <c r="A6" s="161" t="s">
        <v>342</v>
      </c>
      <c r="B6" s="178" t="s">
        <v>406</v>
      </c>
      <c r="C6" s="102" t="s">
        <v>32</v>
      </c>
      <c r="D6" s="169">
        <v>20000</v>
      </c>
      <c r="E6" s="182" t="s">
        <v>283</v>
      </c>
      <c r="F6" s="372"/>
      <c r="G6" s="144">
        <v>0</v>
      </c>
      <c r="H6" s="312">
        <f>B11/(B16*B7)</f>
        <v>3.7259689903995191E-6</v>
      </c>
      <c r="I6" s="144">
        <v>0</v>
      </c>
      <c r="J6" s="308">
        <v>0</v>
      </c>
      <c r="K6" s="310">
        <v>0</v>
      </c>
      <c r="L6" s="144">
        <v>0</v>
      </c>
      <c r="M6" s="183" t="s">
        <v>277</v>
      </c>
      <c r="N6" s="181"/>
    </row>
    <row r="7" spans="1:18" x14ac:dyDescent="0.25">
      <c r="A7" s="102" t="s">
        <v>291</v>
      </c>
      <c r="B7" s="192">
        <v>13000</v>
      </c>
      <c r="C7" s="102" t="s">
        <v>243</v>
      </c>
      <c r="D7" s="169">
        <f>500*1000</f>
        <v>500000</v>
      </c>
      <c r="E7" s="182" t="s">
        <v>284</v>
      </c>
      <c r="F7" s="372"/>
      <c r="G7" s="144">
        <v>0</v>
      </c>
      <c r="H7" s="144">
        <v>0</v>
      </c>
      <c r="I7" s="312">
        <f>B11^2/(3*B7*B17)</f>
        <v>7.2190793570577825E-7</v>
      </c>
      <c r="J7" s="313">
        <f>B11^2/(2*B7*B17)</f>
        <v>1.0828619035586674E-6</v>
      </c>
      <c r="K7" s="97">
        <v>0</v>
      </c>
      <c r="L7" s="144">
        <v>0</v>
      </c>
      <c r="M7" s="183" t="s">
        <v>278</v>
      </c>
      <c r="N7" s="181"/>
    </row>
    <row r="8" spans="1:18" x14ac:dyDescent="0.25">
      <c r="A8" s="102" t="s">
        <v>287</v>
      </c>
      <c r="B8" s="169">
        <v>0.38</v>
      </c>
      <c r="C8" s="102" t="s">
        <v>33</v>
      </c>
      <c r="D8" s="169">
        <v>3</v>
      </c>
      <c r="E8" s="182" t="s">
        <v>273</v>
      </c>
      <c r="F8" s="372"/>
      <c r="G8" s="144">
        <v>0</v>
      </c>
      <c r="H8" s="308">
        <v>0</v>
      </c>
      <c r="I8" s="313">
        <f>B11^2/(2*B7*B17)</f>
        <v>1.0828619035586674E-6</v>
      </c>
      <c r="J8" s="312">
        <f>B11/(B7*B17)</f>
        <v>4.3314476142346695E-9</v>
      </c>
      <c r="K8" s="144">
        <v>0</v>
      </c>
      <c r="L8" s="144">
        <v>0</v>
      </c>
      <c r="M8" s="183" t="s">
        <v>279</v>
      </c>
      <c r="N8" s="181"/>
    </row>
    <row r="9" spans="1:18" x14ac:dyDescent="0.25">
      <c r="A9" s="102" t="s">
        <v>292</v>
      </c>
      <c r="B9" s="180">
        <f>B7/(2*(1+B8))</f>
        <v>4710.144927536232</v>
      </c>
      <c r="C9" s="102" t="s">
        <v>34</v>
      </c>
      <c r="D9" s="169">
        <v>0.01</v>
      </c>
      <c r="E9" s="182" t="s">
        <v>275</v>
      </c>
      <c r="F9" s="372"/>
      <c r="G9" s="309">
        <v>0</v>
      </c>
      <c r="H9" s="144">
        <v>0</v>
      </c>
      <c r="I9" s="144">
        <v>0</v>
      </c>
      <c r="J9" s="144">
        <v>0</v>
      </c>
      <c r="K9" s="312">
        <f>B11/(B9*B19)</f>
        <v>4.421152150624145E-10</v>
      </c>
      <c r="L9" s="144">
        <v>0</v>
      </c>
      <c r="M9" s="183" t="s">
        <v>280</v>
      </c>
      <c r="N9" s="181"/>
    </row>
    <row r="10" spans="1:18" ht="16.5" thickBot="1" x14ac:dyDescent="0.3">
      <c r="A10" s="191" t="s">
        <v>398</v>
      </c>
      <c r="B10" s="82"/>
      <c r="C10" s="102" t="s">
        <v>288</v>
      </c>
      <c r="D10" s="180">
        <f>D6/(D8*D9)</f>
        <v>666666.66666666674</v>
      </c>
      <c r="E10" s="184" t="s">
        <v>274</v>
      </c>
      <c r="F10" s="373"/>
      <c r="G10" s="314">
        <f>-(B11^2)/(2*B7*B18)</f>
        <v>-1.0828619035586674E-6</v>
      </c>
      <c r="H10" s="311">
        <v>0</v>
      </c>
      <c r="I10" s="311">
        <v>0</v>
      </c>
      <c r="J10" s="311">
        <v>0</v>
      </c>
      <c r="K10" s="311">
        <v>0</v>
      </c>
      <c r="L10" s="314">
        <f>B11/(B7*B18)</f>
        <v>4.3314476142346695E-9</v>
      </c>
      <c r="M10" s="187" t="s">
        <v>281</v>
      </c>
      <c r="N10" s="181"/>
    </row>
    <row r="11" spans="1:18" x14ac:dyDescent="0.25">
      <c r="A11" s="102" t="s">
        <v>347</v>
      </c>
      <c r="B11" s="307">
        <f>'CSs and Loads'!C25</f>
        <v>500</v>
      </c>
      <c r="C11" s="278" t="s">
        <v>35</v>
      </c>
      <c r="D11" s="276">
        <v>25</v>
      </c>
      <c r="J11" s="82"/>
      <c r="K11" s="163"/>
      <c r="L11" s="163"/>
      <c r="M11" s="163"/>
      <c r="N11" s="163"/>
      <c r="O11" s="163"/>
      <c r="P11" s="164"/>
      <c r="Q11" s="163"/>
      <c r="R11" s="163"/>
    </row>
    <row r="12" spans="1:18" x14ac:dyDescent="0.25">
      <c r="A12" s="102" t="s">
        <v>234</v>
      </c>
      <c r="B12" s="196">
        <v>13000</v>
      </c>
      <c r="C12" s="278" t="s">
        <v>379</v>
      </c>
      <c r="D12" s="280">
        <f>D7*D11^2/4</f>
        <v>78125000</v>
      </c>
      <c r="J12" s="82"/>
      <c r="P12" s="149"/>
    </row>
    <row r="13" spans="1:18" x14ac:dyDescent="0.25">
      <c r="A13" s="102" t="s">
        <v>345</v>
      </c>
      <c r="B13" s="208">
        <f>4*25.4</f>
        <v>101.6</v>
      </c>
      <c r="C13" s="278" t="s">
        <v>289</v>
      </c>
      <c r="D13" s="280">
        <f>D7*D11^2/12</f>
        <v>26041666.666666668</v>
      </c>
      <c r="J13" s="82"/>
      <c r="P13" s="149"/>
    </row>
    <row r="14" spans="1:18" x14ac:dyDescent="0.25">
      <c r="A14" s="102" t="s">
        <v>344</v>
      </c>
      <c r="B14" s="302">
        <f>4*25.4</f>
        <v>101.6</v>
      </c>
      <c r="C14" s="278" t="s">
        <v>290</v>
      </c>
      <c r="D14" s="281">
        <f>D13</f>
        <v>26041666.666666668</v>
      </c>
      <c r="J14" s="82"/>
      <c r="P14" s="149"/>
    </row>
    <row r="15" spans="1:18" x14ac:dyDescent="0.25">
      <c r="A15" s="102" t="s">
        <v>271</v>
      </c>
      <c r="B15" s="208">
        <v>0</v>
      </c>
      <c r="C15" s="282" t="s">
        <v>368</v>
      </c>
      <c r="D15" s="276"/>
      <c r="J15" s="82"/>
      <c r="P15" s="149"/>
    </row>
    <row r="16" spans="1:18" x14ac:dyDescent="0.25">
      <c r="A16" s="305" t="s">
        <v>272</v>
      </c>
      <c r="B16" s="304">
        <f>B13*B14</f>
        <v>10322.56</v>
      </c>
      <c r="C16" s="283" t="s">
        <v>267</v>
      </c>
      <c r="D16" s="276"/>
      <c r="J16" s="82"/>
      <c r="P16" s="149"/>
    </row>
    <row r="17" spans="1:19" x14ac:dyDescent="0.25">
      <c r="A17" s="303" t="s">
        <v>405</v>
      </c>
      <c r="B17" s="304">
        <f>B13*B14^3/12</f>
        <v>8879603.7461333331</v>
      </c>
      <c r="C17" s="278" t="s">
        <v>269</v>
      </c>
      <c r="D17" s="276">
        <v>18</v>
      </c>
      <c r="J17" s="82"/>
      <c r="P17" s="149"/>
    </row>
    <row r="18" spans="1:19" x14ac:dyDescent="0.25">
      <c r="A18" s="303" t="s">
        <v>408</v>
      </c>
      <c r="B18" s="304">
        <f>(B14*B13^3)/12</f>
        <v>8879603.7461333331</v>
      </c>
      <c r="C18" s="278" t="s">
        <v>234</v>
      </c>
      <c r="D18" s="276">
        <v>2500</v>
      </c>
      <c r="J18" s="189"/>
      <c r="P18" s="149"/>
    </row>
    <row r="19" spans="1:19" x14ac:dyDescent="0.25">
      <c r="A19" s="305" t="s">
        <v>236</v>
      </c>
      <c r="B19" s="304">
        <f>B14*B13^3*((16/3)-3.36*(B13/B14)*(1-B13^4/(12*B14^4)))</f>
        <v>240104485.29544532</v>
      </c>
      <c r="C19" s="278" t="s">
        <v>54</v>
      </c>
      <c r="D19" s="284">
        <v>200000</v>
      </c>
      <c r="J19" s="170"/>
      <c r="K19" s="146"/>
      <c r="N19" s="146"/>
      <c r="O19" s="146"/>
      <c r="P19" s="150"/>
    </row>
    <row r="20" spans="1:19" x14ac:dyDescent="0.25">
      <c r="A20" s="305" t="s">
        <v>337</v>
      </c>
      <c r="B20" s="306">
        <f>B18/B16</f>
        <v>860.21333333333337</v>
      </c>
      <c r="C20" s="278" t="s">
        <v>268</v>
      </c>
      <c r="D20" s="285">
        <f>PI()*D17^2/4*D19/D18</f>
        <v>20357.520395261861</v>
      </c>
      <c r="J20" s="170"/>
      <c r="K20" s="146"/>
      <c r="L20" s="146"/>
      <c r="M20" s="146"/>
      <c r="N20" s="146"/>
      <c r="O20" s="146"/>
      <c r="P20" s="150"/>
    </row>
    <row r="21" spans="1:19" ht="16.5" thickBot="1" x14ac:dyDescent="0.3">
      <c r="A21" s="102" t="s">
        <v>348</v>
      </c>
      <c r="B21" s="97">
        <f>3*B7*B18/B12^3</f>
        <v>0.15762610200236687</v>
      </c>
      <c r="C21" s="286" t="s">
        <v>320</v>
      </c>
      <c r="D21" s="287">
        <v>3</v>
      </c>
      <c r="E21" s="176"/>
      <c r="F21" s="176"/>
      <c r="G21" s="176"/>
      <c r="J21" s="173"/>
      <c r="K21" s="174"/>
      <c r="L21" s="174"/>
      <c r="M21" s="174"/>
      <c r="N21" s="174"/>
      <c r="O21" s="174"/>
      <c r="P21" s="175"/>
      <c r="Q21" s="176"/>
      <c r="R21" s="176"/>
    </row>
    <row r="22" spans="1:19" ht="15.95" customHeight="1" thickBot="1" x14ac:dyDescent="0.3">
      <c r="A22" s="368" t="s">
        <v>355</v>
      </c>
      <c r="B22" s="369"/>
      <c r="C22" s="369"/>
      <c r="D22" s="369"/>
      <c r="E22" s="369"/>
      <c r="F22" s="369"/>
      <c r="G22" s="369"/>
      <c r="H22" s="369"/>
      <c r="I22" s="369"/>
      <c r="J22" s="369"/>
      <c r="K22" s="369"/>
      <c r="L22" s="369"/>
      <c r="M22" s="370"/>
      <c r="N22" s="181"/>
      <c r="O22" s="209"/>
      <c r="P22" s="209"/>
      <c r="Q22" s="20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40000000</v>
      </c>
      <c r="C25" s="218">
        <v>0</v>
      </c>
      <c r="O25" s="209"/>
      <c r="P25" s="209"/>
      <c r="Q25" s="209"/>
      <c r="R25" s="209"/>
    </row>
    <row r="26" spans="1:19" x14ac:dyDescent="0.25">
      <c r="A26" s="217" t="s">
        <v>118</v>
      </c>
      <c r="B26" s="152">
        <f>SUM(H36:S36)+C26</f>
        <v>40000000</v>
      </c>
      <c r="C26" s="218">
        <v>0</v>
      </c>
      <c r="G26" s="242" t="s">
        <v>185</v>
      </c>
      <c r="O26" s="209"/>
      <c r="P26" s="209"/>
      <c r="Q26" s="209"/>
      <c r="R26" s="209"/>
    </row>
    <row r="27" spans="1:19" x14ac:dyDescent="0.25">
      <c r="A27" s="217" t="s">
        <v>119</v>
      </c>
      <c r="B27" s="152">
        <f>SUM(H37:S37)+C27</f>
        <v>40000000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103629975000</v>
      </c>
      <c r="C29" s="218">
        <v>0</v>
      </c>
      <c r="D29" s="87"/>
      <c r="E29" s="87"/>
      <c r="F29" s="87"/>
      <c r="H29" s="365" t="s">
        <v>129</v>
      </c>
      <c r="I29" s="365"/>
      <c r="J29" s="365"/>
      <c r="K29" s="365"/>
      <c r="L29" s="365"/>
      <c r="M29" s="365"/>
      <c r="N29" s="365"/>
      <c r="O29" s="365"/>
      <c r="P29" s="365"/>
      <c r="Q29" s="365"/>
      <c r="R29" s="365"/>
      <c r="S29" s="365"/>
    </row>
    <row r="30" spans="1:19" x14ac:dyDescent="0.25">
      <c r="A30" s="217" t="s">
        <v>120</v>
      </c>
      <c r="B30" s="152">
        <f>SUM(H40:S40)+SUM(H44:S44)+C30</f>
        <v>206585991666.66666</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103360391666.66667</v>
      </c>
      <c r="C31" s="218">
        <v>0</v>
      </c>
      <c r="D31" s="87"/>
      <c r="E31" s="87"/>
      <c r="F31" s="87"/>
      <c r="G31" s="102" t="s">
        <v>42</v>
      </c>
      <c r="H31" s="222">
        <f>25.4*2</f>
        <v>50.8</v>
      </c>
      <c r="I31" s="222">
        <f>-H31</f>
        <v>-50.8</v>
      </c>
      <c r="J31" s="222">
        <f>I31</f>
        <v>-50.8</v>
      </c>
      <c r="K31" s="222">
        <f>H31</f>
        <v>50.8</v>
      </c>
      <c r="L31" s="213">
        <v>0</v>
      </c>
      <c r="M31" s="213">
        <v>0</v>
      </c>
      <c r="N31" s="213">
        <v>0</v>
      </c>
      <c r="O31" s="213">
        <v>0</v>
      </c>
      <c r="P31" s="213">
        <v>0</v>
      </c>
      <c r="Q31" s="213">
        <v>0</v>
      </c>
      <c r="R31" s="213">
        <v>0</v>
      </c>
      <c r="S31" s="213">
        <v>0</v>
      </c>
    </row>
    <row r="32" spans="1:19" x14ac:dyDescent="0.25">
      <c r="A32" s="366" t="s">
        <v>190</v>
      </c>
      <c r="B32" s="366"/>
      <c r="C32" s="366"/>
      <c r="D32" s="87"/>
      <c r="E32" s="87"/>
      <c r="F32" s="87"/>
      <c r="G32" s="102" t="s">
        <v>43</v>
      </c>
      <c r="H32" s="222">
        <v>0</v>
      </c>
      <c r="I32" s="222">
        <v>0</v>
      </c>
      <c r="J32" s="222">
        <v>0</v>
      </c>
      <c r="K32" s="222">
        <v>0</v>
      </c>
      <c r="L32" s="213">
        <v>0</v>
      </c>
      <c r="M32" s="213">
        <v>0</v>
      </c>
      <c r="N32" s="213">
        <v>0</v>
      </c>
      <c r="O32" s="213">
        <v>0</v>
      </c>
      <c r="P32" s="213">
        <v>0</v>
      </c>
      <c r="Q32" s="213">
        <v>0</v>
      </c>
      <c r="R32" s="213">
        <v>0</v>
      </c>
      <c r="S32" s="213">
        <v>0</v>
      </c>
    </row>
    <row r="33" spans="1:19" x14ac:dyDescent="0.25">
      <c r="A33" s="366"/>
      <c r="B33" s="366"/>
      <c r="C33" s="366"/>
      <c r="D33" s="87"/>
      <c r="E33" s="87"/>
      <c r="F33" s="87"/>
      <c r="G33" s="102" t="s">
        <v>44</v>
      </c>
      <c r="H33" s="222">
        <f>25.4*2</f>
        <v>50.8</v>
      </c>
      <c r="I33" s="222">
        <f>H33</f>
        <v>50.8</v>
      </c>
      <c r="J33" s="222">
        <f>-I33</f>
        <v>-50.8</v>
      </c>
      <c r="K33" s="222">
        <f>J33</f>
        <v>-50.8</v>
      </c>
      <c r="L33" s="213">
        <v>0</v>
      </c>
      <c r="M33" s="213">
        <v>0</v>
      </c>
      <c r="N33" s="213">
        <v>0</v>
      </c>
      <c r="O33" s="213">
        <v>0</v>
      </c>
      <c r="P33" s="213">
        <v>0</v>
      </c>
      <c r="Q33" s="213">
        <v>0</v>
      </c>
      <c r="R33" s="213">
        <v>0</v>
      </c>
      <c r="S33" s="213">
        <v>0</v>
      </c>
    </row>
    <row r="34" spans="1:19" x14ac:dyDescent="0.25">
      <c r="A34" s="366"/>
      <c r="B34" s="366"/>
      <c r="C34" s="366"/>
      <c r="G34" s="82" t="s">
        <v>130</v>
      </c>
      <c r="H34" s="367"/>
      <c r="I34" s="367"/>
      <c r="J34" s="367"/>
      <c r="K34" s="367"/>
    </row>
    <row r="35" spans="1:19" x14ac:dyDescent="0.25">
      <c r="A35" s="220" t="s">
        <v>186</v>
      </c>
      <c r="B35" s="213"/>
      <c r="C35" s="213"/>
      <c r="D35" s="87"/>
      <c r="E35" s="87"/>
      <c r="F35" s="87"/>
      <c r="G35" s="102" t="s">
        <v>117</v>
      </c>
      <c r="H35" s="142">
        <f>10^7</f>
        <v>10000000</v>
      </c>
      <c r="I35" s="142">
        <f t="shared" ref="I35:K37" si="1">10^7</f>
        <v>10000000</v>
      </c>
      <c r="J35" s="142">
        <f t="shared" si="1"/>
        <v>10000000</v>
      </c>
      <c r="K35" s="142">
        <f t="shared" si="1"/>
        <v>10000000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 t="shared" ref="H36:H37" si="2">10^7</f>
        <v>10000000</v>
      </c>
      <c r="I36" s="142">
        <f t="shared" si="1"/>
        <v>10000000</v>
      </c>
      <c r="J36" s="142">
        <f t="shared" si="1"/>
        <v>10000000</v>
      </c>
      <c r="K36" s="142">
        <f t="shared" si="1"/>
        <v>10000000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 t="shared" si="2"/>
        <v>10000000</v>
      </c>
      <c r="I37" s="142">
        <f t="shared" si="1"/>
        <v>10000000</v>
      </c>
      <c r="J37" s="142">
        <f t="shared" si="1"/>
        <v>10000000</v>
      </c>
      <c r="K37" s="142">
        <f t="shared" si="1"/>
        <v>10000000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67"/>
      <c r="I38" s="367"/>
      <c r="J38" s="367"/>
      <c r="K38" s="367"/>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25806400000</v>
      </c>
      <c r="I43" s="152">
        <f t="shared" ref="I43:S43" si="5">I36*I33^2+I37*I32^2</f>
        <v>25806400000</v>
      </c>
      <c r="J43" s="152">
        <f t="shared" si="5"/>
        <v>25806400000</v>
      </c>
      <c r="K43" s="152">
        <f t="shared" si="5"/>
        <v>25806400000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51612800000</v>
      </c>
      <c r="I44" s="152">
        <f t="shared" ref="I44:S44" si="6">I35*I33^2+I37*I31^2</f>
        <v>51612800000</v>
      </c>
      <c r="J44" s="152">
        <f t="shared" si="6"/>
        <v>51612800000</v>
      </c>
      <c r="K44" s="152">
        <f t="shared" si="6"/>
        <v>51612800000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25806400000</v>
      </c>
      <c r="I45" s="152">
        <f t="shared" ref="I45:S45" si="7">I35*I32^2+I36*I31^2</f>
        <v>25806400000</v>
      </c>
      <c r="J45" s="152">
        <f t="shared" si="7"/>
        <v>25806400000</v>
      </c>
      <c r="K45" s="152">
        <f t="shared" si="7"/>
        <v>25806400000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9.8425196850393767E-5</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9.8425195881641819E-5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9.8425196850393767E-5</v>
      </c>
      <c r="C50" s="87"/>
      <c r="D50" s="218"/>
      <c r="E50" s="218"/>
      <c r="F50" s="218"/>
      <c r="G50" s="82" t="s">
        <v>252</v>
      </c>
    </row>
    <row r="51" spans="1:20" ht="47.25" x14ac:dyDescent="0.25">
      <c r="A51" s="215" t="s">
        <v>208</v>
      </c>
      <c r="B51" s="107"/>
      <c r="D51" s="219"/>
      <c r="E51" s="219"/>
      <c r="F51" s="219"/>
      <c r="G51" s="102" t="s">
        <v>85</v>
      </c>
      <c r="H51" s="152">
        <f t="shared" ref="H51:S51" si="10">H98</f>
        <v>9.8425194912889872E-5</v>
      </c>
      <c r="I51" s="152">
        <f t="shared" si="10"/>
        <v>9.8425194912889872E-5</v>
      </c>
      <c r="J51" s="152">
        <f t="shared" si="10"/>
        <v>9.8425198787897622E-5</v>
      </c>
      <c r="K51" s="152">
        <f t="shared" si="10"/>
        <v>9.8425198787897622E-5</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 t="shared" ref="H52:S52" si="11">H102</f>
        <v>9.8425194912889872E-5</v>
      </c>
      <c r="I52" s="152">
        <f t="shared" si="11"/>
        <v>9.8425194912889872E-5</v>
      </c>
      <c r="J52" s="152">
        <f t="shared" si="11"/>
        <v>9.8425198787897622E-5</v>
      </c>
      <c r="K52" s="152">
        <f t="shared" si="11"/>
        <v>9.8425194912889872E-5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 t="shared" ref="H53:S53" si="13">H106</f>
        <v>9.8425194912889872E-5</v>
      </c>
      <c r="I53" s="152">
        <f t="shared" si="13"/>
        <v>9.8425198787897622E-5</v>
      </c>
      <c r="J53" s="152">
        <f t="shared" si="13"/>
        <v>9.8425198787897622E-5</v>
      </c>
      <c r="K53" s="152">
        <f t="shared" si="13"/>
        <v>9.8425194912889872E-5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152">
        <f t="shared" ref="H59:S59" si="14">H113</f>
        <v>0</v>
      </c>
      <c r="I59" s="152">
        <f t="shared" si="14"/>
        <v>0</v>
      </c>
      <c r="J59" s="152">
        <f t="shared" si="14"/>
        <v>0</v>
      </c>
      <c r="K59" s="152">
        <f t="shared" si="14"/>
        <v>0</v>
      </c>
      <c r="L59" s="152">
        <f t="shared" si="14"/>
        <v>0</v>
      </c>
      <c r="M59" s="152">
        <f t="shared" si="14"/>
        <v>0</v>
      </c>
      <c r="N59" s="152">
        <f t="shared" si="14"/>
        <v>0</v>
      </c>
      <c r="O59" s="152">
        <f t="shared" si="14"/>
        <v>0</v>
      </c>
      <c r="P59" s="152">
        <f t="shared" si="14"/>
        <v>0</v>
      </c>
      <c r="Q59" s="152">
        <f t="shared" si="14"/>
        <v>0</v>
      </c>
      <c r="R59" s="152">
        <f t="shared" si="14"/>
        <v>0</v>
      </c>
      <c r="S59" s="152">
        <f t="shared" si="14"/>
        <v>0</v>
      </c>
    </row>
    <row r="60" spans="1:20" x14ac:dyDescent="0.25">
      <c r="G60" s="102" t="s">
        <v>86</v>
      </c>
      <c r="H60" s="152">
        <f t="shared" ref="H60:S60" si="15">H118</f>
        <v>0</v>
      </c>
      <c r="I60" s="152">
        <f t="shared" si="15"/>
        <v>0</v>
      </c>
      <c r="J60" s="152">
        <f t="shared" si="15"/>
        <v>0</v>
      </c>
      <c r="K60" s="152">
        <f t="shared" si="15"/>
        <v>0</v>
      </c>
      <c r="L60" s="152">
        <f t="shared" si="15"/>
        <v>0</v>
      </c>
      <c r="M60" s="152">
        <f t="shared" si="15"/>
        <v>0</v>
      </c>
      <c r="N60" s="152">
        <f t="shared" si="15"/>
        <v>0</v>
      </c>
      <c r="O60" s="152">
        <f t="shared" si="15"/>
        <v>0</v>
      </c>
      <c r="P60" s="152">
        <f t="shared" si="15"/>
        <v>0</v>
      </c>
      <c r="Q60" s="152">
        <f t="shared" si="15"/>
        <v>0</v>
      </c>
      <c r="R60" s="152">
        <f t="shared" si="15"/>
        <v>0</v>
      </c>
      <c r="S60" s="152">
        <f t="shared" si="15"/>
        <v>0</v>
      </c>
    </row>
    <row r="61" spans="1:20" x14ac:dyDescent="0.25">
      <c r="G61" s="102" t="s">
        <v>87</v>
      </c>
      <c r="H61" s="152">
        <f t="shared" ref="H61:S61" si="16">H123</f>
        <v>0</v>
      </c>
      <c r="I61" s="152">
        <f t="shared" si="16"/>
        <v>0</v>
      </c>
      <c r="J61" s="152">
        <f t="shared" si="16"/>
        <v>0</v>
      </c>
      <c r="K61" s="152">
        <f t="shared" si="16"/>
        <v>0</v>
      </c>
      <c r="L61" s="152">
        <f t="shared" si="16"/>
        <v>0</v>
      </c>
      <c r="M61" s="152">
        <f t="shared" si="16"/>
        <v>0</v>
      </c>
      <c r="N61" s="152">
        <f t="shared" si="16"/>
        <v>0</v>
      </c>
      <c r="O61" s="152">
        <f t="shared" si="16"/>
        <v>0</v>
      </c>
      <c r="P61" s="152">
        <f t="shared" si="16"/>
        <v>0</v>
      </c>
      <c r="Q61" s="152">
        <f t="shared" si="16"/>
        <v>0</v>
      </c>
      <c r="R61" s="152">
        <f t="shared" si="16"/>
        <v>0</v>
      </c>
      <c r="S61" s="152">
        <f t="shared" si="16"/>
        <v>0</v>
      </c>
    </row>
    <row r="62" spans="1:20" x14ac:dyDescent="0.25">
      <c r="G62" s="214" t="s">
        <v>298</v>
      </c>
    </row>
    <row r="63" spans="1:20" s="154" customFormat="1" x14ac:dyDescent="0.25">
      <c r="G63" s="81"/>
      <c r="H63" s="81"/>
      <c r="I63" s="118"/>
      <c r="J63" s="118"/>
      <c r="K63" s="118"/>
      <c r="L63" s="118"/>
      <c r="M63" s="118"/>
      <c r="N63" s="118"/>
      <c r="O63" s="81"/>
    </row>
    <row r="64" spans="1:20" s="154" customFormat="1" x14ac:dyDescent="0.25">
      <c r="G64" s="119"/>
      <c r="H64" s="344"/>
      <c r="I64" s="222"/>
      <c r="J64" s="222"/>
      <c r="K64" s="222"/>
      <c r="L64" s="222"/>
      <c r="M64" s="222"/>
      <c r="N64" s="222"/>
      <c r="O64" s="118"/>
    </row>
    <row r="65" spans="1:15" s="154" customFormat="1" x14ac:dyDescent="0.25">
      <c r="G65" s="119"/>
      <c r="H65" s="344"/>
      <c r="I65" s="222"/>
      <c r="J65" s="222"/>
      <c r="K65" s="222"/>
      <c r="L65" s="222"/>
      <c r="M65" s="222"/>
      <c r="N65" s="222"/>
      <c r="O65" s="118"/>
    </row>
    <row r="66" spans="1:15" s="154" customFormat="1" x14ac:dyDescent="0.25">
      <c r="G66" s="119"/>
      <c r="H66" s="344"/>
      <c r="I66" s="222"/>
      <c r="J66" s="222"/>
      <c r="K66" s="222"/>
      <c r="L66" s="222"/>
      <c r="M66" s="222"/>
      <c r="N66" s="222"/>
      <c r="O66" s="118"/>
    </row>
    <row r="67" spans="1:15" s="154" customFormat="1" x14ac:dyDescent="0.25">
      <c r="G67" s="119"/>
      <c r="H67" s="344"/>
      <c r="I67" s="222"/>
      <c r="J67" s="222"/>
      <c r="K67" s="222"/>
      <c r="L67" s="222"/>
      <c r="M67" s="222"/>
      <c r="N67" s="222"/>
      <c r="O67" s="118"/>
    </row>
    <row r="68" spans="1:15" s="154" customFormat="1" x14ac:dyDescent="0.25">
      <c r="G68" s="119"/>
      <c r="H68" s="344"/>
      <c r="I68" s="222"/>
      <c r="J68" s="222"/>
      <c r="K68" s="222"/>
      <c r="L68" s="222"/>
      <c r="M68" s="222"/>
      <c r="N68" s="222"/>
      <c r="O68" s="118"/>
    </row>
    <row r="69" spans="1:15" s="154" customFormat="1" x14ac:dyDescent="0.25">
      <c r="G69" s="119"/>
      <c r="H69" s="344"/>
      <c r="I69" s="222"/>
      <c r="J69" s="222"/>
      <c r="K69" s="222"/>
      <c r="L69" s="222"/>
      <c r="M69" s="222"/>
      <c r="N69" s="222"/>
      <c r="O69" s="118"/>
    </row>
    <row r="70" spans="1:15" s="154" customFormat="1" x14ac:dyDescent="0.25">
      <c r="G70" s="119"/>
      <c r="H70" s="195"/>
      <c r="I70" s="222"/>
      <c r="J70" s="222"/>
      <c r="K70" s="222"/>
      <c r="L70" s="222"/>
      <c r="M70" s="222"/>
      <c r="N70" s="222"/>
      <c r="O70" s="118"/>
    </row>
    <row r="71" spans="1:15" s="154" customFormat="1" x14ac:dyDescent="0.25">
      <c r="G71" s="119"/>
      <c r="H71" s="195"/>
      <c r="I71" s="222"/>
      <c r="J71" s="222"/>
      <c r="K71" s="222"/>
      <c r="L71" s="222"/>
      <c r="M71" s="222"/>
      <c r="N71" s="222"/>
      <c r="O71" s="118"/>
    </row>
    <row r="72" spans="1:15" s="154" customFormat="1" x14ac:dyDescent="0.25">
      <c r="G72" s="119"/>
      <c r="H72" s="195"/>
      <c r="I72" s="222"/>
      <c r="J72" s="222"/>
      <c r="K72" s="222"/>
      <c r="L72" s="222"/>
      <c r="M72" s="222"/>
      <c r="N72" s="222"/>
      <c r="O72" s="118"/>
    </row>
    <row r="73" spans="1:15" s="154" customFormat="1" x14ac:dyDescent="0.25">
      <c r="G73" s="119"/>
      <c r="H73" s="195"/>
      <c r="I73" s="222"/>
      <c r="J73" s="222"/>
      <c r="K73" s="222"/>
      <c r="L73" s="222"/>
      <c r="M73" s="222"/>
      <c r="N73" s="222"/>
      <c r="O73" s="118"/>
    </row>
    <row r="74" spans="1:15" s="154" customFormat="1" x14ac:dyDescent="0.25">
      <c r="G74" s="119"/>
      <c r="H74" s="195"/>
      <c r="I74" s="222"/>
      <c r="J74" s="222"/>
      <c r="K74" s="222"/>
      <c r="L74" s="222"/>
      <c r="M74" s="222"/>
      <c r="N74" s="222"/>
      <c r="O74" s="118"/>
    </row>
    <row r="75" spans="1:15" s="154" customFormat="1" x14ac:dyDescent="0.25">
      <c r="G75" s="119"/>
      <c r="H75" s="195"/>
      <c r="I75" s="222"/>
      <c r="J75" s="222"/>
      <c r="K75" s="222"/>
      <c r="L75" s="222"/>
      <c r="M75" s="222"/>
      <c r="N75" s="222"/>
      <c r="O75" s="118"/>
    </row>
    <row r="76" spans="1:15" s="154" customFormat="1" x14ac:dyDescent="0.25">
      <c r="G76" s="119"/>
      <c r="H76" s="195"/>
      <c r="I76" s="222"/>
      <c r="J76" s="222"/>
      <c r="K76" s="222"/>
      <c r="L76" s="222"/>
      <c r="M76" s="222"/>
      <c r="N76" s="222"/>
      <c r="O76" s="118"/>
    </row>
    <row r="77" spans="1:15" s="154" customFormat="1" x14ac:dyDescent="0.25">
      <c r="G77" s="119"/>
      <c r="H77" s="195"/>
      <c r="I77" s="222"/>
      <c r="J77" s="222"/>
      <c r="K77" s="222"/>
      <c r="L77" s="222"/>
      <c r="M77" s="222"/>
      <c r="N77" s="222"/>
      <c r="O77" s="118"/>
    </row>
    <row r="78" spans="1:15" s="154" customFormat="1" x14ac:dyDescent="0.25">
      <c r="G78" s="119"/>
      <c r="H78" s="195"/>
      <c r="I78" s="222"/>
      <c r="J78" s="222"/>
      <c r="K78" s="222"/>
      <c r="L78" s="222"/>
      <c r="M78" s="222"/>
      <c r="N78" s="222"/>
      <c r="O78" s="118"/>
    </row>
    <row r="79" spans="1:15" s="154" customFormat="1" x14ac:dyDescent="0.25">
      <c r="G79" s="119"/>
      <c r="H79" s="195"/>
      <c r="I79" s="222"/>
      <c r="J79" s="222"/>
      <c r="K79" s="222"/>
      <c r="L79" s="222"/>
      <c r="M79" s="222"/>
      <c r="N79" s="222"/>
      <c r="O79" s="118"/>
    </row>
    <row r="80" spans="1:15" s="154" customFormat="1" x14ac:dyDescent="0.25">
      <c r="A80" s="116"/>
      <c r="B80" s="209"/>
      <c r="G80" s="119"/>
      <c r="H80" s="195"/>
      <c r="I80" s="222"/>
      <c r="J80" s="222"/>
      <c r="K80" s="222"/>
      <c r="L80" s="222"/>
      <c r="M80" s="222"/>
      <c r="N80" s="222"/>
      <c r="O80" s="118"/>
    </row>
    <row r="81" spans="1:19" s="154" customFormat="1" x14ac:dyDescent="0.25">
      <c r="A81" s="116"/>
      <c r="B81" s="209"/>
      <c r="G81" s="119"/>
      <c r="H81" s="195"/>
      <c r="I81" s="222"/>
      <c r="J81" s="222"/>
      <c r="K81" s="222"/>
      <c r="L81" s="222"/>
      <c r="M81" s="222"/>
      <c r="N81" s="222"/>
      <c r="O81" s="118"/>
    </row>
    <row r="82" spans="1:19" s="154" customFormat="1" x14ac:dyDescent="0.25">
      <c r="A82" s="116"/>
      <c r="B82" s="209"/>
      <c r="G82" s="119"/>
      <c r="H82" s="195"/>
      <c r="I82" s="222"/>
      <c r="J82" s="222"/>
      <c r="K82" s="222"/>
      <c r="L82" s="222"/>
      <c r="M82" s="222"/>
      <c r="N82" s="222"/>
      <c r="O82" s="118"/>
    </row>
    <row r="83" spans="1:19" s="154" customFormat="1" x14ac:dyDescent="0.25">
      <c r="A83" s="116"/>
      <c r="B83" s="209"/>
      <c r="G83" s="119"/>
      <c r="H83" s="195"/>
      <c r="I83" s="222"/>
      <c r="J83" s="222"/>
      <c r="K83" s="222"/>
      <c r="L83" s="222"/>
      <c r="M83" s="222"/>
      <c r="N83" s="222"/>
      <c r="O83" s="118"/>
    </row>
    <row r="84" spans="1:19" s="154" customFormat="1" x14ac:dyDescent="0.25">
      <c r="A84" s="116"/>
      <c r="B84" s="209"/>
      <c r="G84" s="119"/>
      <c r="H84" s="195"/>
      <c r="I84" s="222"/>
      <c r="J84" s="222"/>
      <c r="K84" s="222"/>
      <c r="L84" s="222"/>
      <c r="M84" s="222"/>
      <c r="N84" s="222"/>
      <c r="O84" s="118"/>
    </row>
    <row r="85" spans="1:19" s="154" customFormat="1" x14ac:dyDescent="0.25">
      <c r="A85" s="116"/>
      <c r="B85" s="209"/>
      <c r="G85" s="119"/>
      <c r="H85" s="195"/>
      <c r="I85" s="222"/>
      <c r="J85" s="222"/>
      <c r="K85" s="222"/>
      <c r="L85" s="222"/>
      <c r="M85" s="222"/>
      <c r="N85" s="222"/>
      <c r="O85" s="118"/>
    </row>
    <row r="86" spans="1:19" s="154" customFormat="1" x14ac:dyDescent="0.25">
      <c r="A86" s="116"/>
      <c r="B86" s="209"/>
      <c r="G86" s="119"/>
      <c r="H86" s="195"/>
      <c r="I86" s="222"/>
      <c r="J86" s="222"/>
      <c r="K86" s="222"/>
      <c r="L86" s="222"/>
      <c r="M86" s="222"/>
      <c r="N86" s="222"/>
      <c r="O86" s="118"/>
    </row>
    <row r="87" spans="1:19" s="154" customFormat="1" x14ac:dyDescent="0.25">
      <c r="A87" s="116"/>
      <c r="B87" s="209"/>
      <c r="G87" s="119"/>
      <c r="H87" s="195"/>
      <c r="I87" s="222"/>
      <c r="J87" s="222"/>
      <c r="K87" s="222"/>
      <c r="L87" s="222"/>
      <c r="M87" s="222"/>
      <c r="N87" s="222"/>
      <c r="O87" s="118"/>
    </row>
    <row r="88" spans="1:19" s="154" customFormat="1" x14ac:dyDescent="0.25">
      <c r="A88" s="116"/>
      <c r="B88" s="209"/>
      <c r="G88" s="119"/>
      <c r="H88" s="195"/>
      <c r="I88" s="222"/>
      <c r="J88" s="222"/>
      <c r="K88" s="222"/>
      <c r="L88" s="222"/>
      <c r="M88" s="222"/>
      <c r="N88" s="222"/>
      <c r="O88" s="118"/>
    </row>
    <row r="89" spans="1:19" s="154" customFormat="1" x14ac:dyDescent="0.25">
      <c r="A89" s="116"/>
      <c r="B89" s="209"/>
      <c r="G89" s="119"/>
      <c r="H89" s="195"/>
      <c r="I89" s="222"/>
      <c r="J89" s="222"/>
      <c r="K89" s="222"/>
      <c r="L89" s="222"/>
      <c r="M89" s="222"/>
      <c r="N89" s="222"/>
      <c r="O89" s="118"/>
    </row>
    <row r="90" spans="1:19" s="154" customFormat="1" x14ac:dyDescent="0.25">
      <c r="A90" s="116"/>
      <c r="B90" s="209"/>
      <c r="G90" s="119"/>
      <c r="H90" s="195"/>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260</v>
      </c>
    </row>
    <row r="95" spans="1:19" x14ac:dyDescent="0.25">
      <c r="A95" s="116"/>
      <c r="B95" s="209"/>
      <c r="C95" s="154"/>
      <c r="G95" s="211"/>
      <c r="H95" s="149" t="s">
        <v>261</v>
      </c>
    </row>
    <row r="96" spans="1:19" x14ac:dyDescent="0.25">
      <c r="A96" s="116"/>
      <c r="B96" s="209"/>
      <c r="C96" s="154"/>
      <c r="G96" s="149" t="s">
        <v>259</v>
      </c>
      <c r="H96" s="81">
        <f t="shared" ref="H96:S96" si="17">H48/ABS(H33+0.000001)</f>
        <v>9.8425194912889872E-5</v>
      </c>
      <c r="I96" s="81">
        <f t="shared" si="17"/>
        <v>9.8425194912889872E-5</v>
      </c>
      <c r="J96" s="81">
        <f t="shared" si="17"/>
        <v>9.8425198787897622E-5</v>
      </c>
      <c r="K96" s="81">
        <f t="shared" si="17"/>
        <v>9.8425198787897622E-5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16"/>
      <c r="B97" s="209"/>
      <c r="C97" s="154"/>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16"/>
      <c r="B98" s="209"/>
      <c r="C98" s="154"/>
      <c r="G98" s="81" t="s">
        <v>257</v>
      </c>
      <c r="H98" s="224">
        <f>IF(MIN(H96,H97)&gt;1,0,MIN(H96,H97))</f>
        <v>9.8425194912889872E-5</v>
      </c>
      <c r="I98" s="224">
        <f t="shared" ref="I98:S98" si="19">IF(MIN(I96,I97)&gt;1,0,MIN(I96,I97))</f>
        <v>9.8425194912889872E-5</v>
      </c>
      <c r="J98" s="224">
        <f t="shared" si="19"/>
        <v>9.8425198787897622E-5</v>
      </c>
      <c r="K98" s="224">
        <f t="shared" si="19"/>
        <v>9.8425198787897622E-5</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16"/>
      <c r="B99" s="209"/>
      <c r="C99" s="154"/>
      <c r="H99" s="149" t="s">
        <v>262</v>
      </c>
      <c r="I99" s="149"/>
      <c r="J99" s="149"/>
      <c r="K99" s="149"/>
      <c r="L99" s="149"/>
      <c r="M99" s="149"/>
      <c r="N99" s="149"/>
      <c r="O99" s="149"/>
      <c r="P99" s="149"/>
      <c r="Q99" s="149"/>
      <c r="R99" s="149"/>
      <c r="S99" s="149"/>
    </row>
    <row r="100" spans="1:19" s="154" customFormat="1" x14ac:dyDescent="0.25">
      <c r="A100" s="116"/>
      <c r="B100" s="209"/>
      <c r="G100" s="115" t="s">
        <v>259</v>
      </c>
      <c r="H100" s="154">
        <f t="shared" ref="H100:S100" si="20">H49/ABS(H31+0.000001)</f>
        <v>9.8425194912889872E-5</v>
      </c>
      <c r="I100" s="154">
        <f t="shared" si="20"/>
        <v>9.8425198787897622E-5</v>
      </c>
      <c r="J100" s="154">
        <f t="shared" si="20"/>
        <v>9.8425198787897622E-5</v>
      </c>
      <c r="K100" s="154">
        <f t="shared" si="20"/>
        <v>9.8425194912889872E-5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s="154" customFormat="1" x14ac:dyDescent="0.25">
      <c r="A101" s="116"/>
      <c r="B101" s="209"/>
      <c r="G101" s="115" t="s">
        <v>259</v>
      </c>
      <c r="H101" s="225">
        <f t="shared" ref="H101:S101" si="21">H47/ABS(H33+0.000001)</f>
        <v>9.8425194912889872E-5</v>
      </c>
      <c r="I101" s="225">
        <f t="shared" si="21"/>
        <v>9.8425194912889872E-5</v>
      </c>
      <c r="J101" s="225">
        <f t="shared" si="21"/>
        <v>9.8425198787897622E-5</v>
      </c>
      <c r="K101" s="225">
        <f t="shared" si="21"/>
        <v>9.8425198787897622E-5</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16"/>
      <c r="B102" s="209"/>
      <c r="C102" s="154"/>
      <c r="G102" s="81" t="s">
        <v>257</v>
      </c>
      <c r="H102" s="224">
        <f>IF(MIN(H100,H101)&gt;1,0,MIN(H100,H101))</f>
        <v>9.8425194912889872E-5</v>
      </c>
      <c r="I102" s="224">
        <f t="shared" ref="I102:S102" si="22">IF(MIN(I100,I101)&gt;1,0,MIN(I100,I101))</f>
        <v>9.8425194912889872E-5</v>
      </c>
      <c r="J102" s="224">
        <f t="shared" si="22"/>
        <v>9.8425198787897622E-5</v>
      </c>
      <c r="K102" s="224">
        <f t="shared" si="22"/>
        <v>9.8425194912889872E-5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16"/>
      <c r="B103" s="209"/>
      <c r="C103" s="154"/>
      <c r="H103" s="81" t="s">
        <v>263</v>
      </c>
    </row>
    <row r="104" spans="1:19" x14ac:dyDescent="0.25">
      <c r="A104" s="116"/>
      <c r="B104" s="209"/>
      <c r="C104" s="154"/>
      <c r="G104" s="149" t="s">
        <v>259</v>
      </c>
      <c r="H104" s="81">
        <f t="shared" ref="H104:S104" si="23">H48/ABS(H31+0.000001)</f>
        <v>9.8425194912889872E-5</v>
      </c>
      <c r="I104" s="81">
        <f t="shared" si="23"/>
        <v>9.8425198787897622E-5</v>
      </c>
      <c r="J104" s="81">
        <f t="shared" si="23"/>
        <v>9.8425198787897622E-5</v>
      </c>
      <c r="K104" s="81">
        <f t="shared" si="23"/>
        <v>9.8425194912889872E-5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16"/>
      <c r="B105" s="209"/>
      <c r="C105" s="154"/>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16"/>
      <c r="B106" s="209"/>
      <c r="C106" s="154"/>
      <c r="G106" s="81" t="s">
        <v>257</v>
      </c>
      <c r="H106" s="224">
        <f>IF(MIN(H104,H105)&gt;1,0,MIN(H104,H105))</f>
        <v>9.8425194912889872E-5</v>
      </c>
      <c r="I106" s="224">
        <f t="shared" ref="I106:S106" si="25">IF(MIN(I104,I105)&gt;1,0,MIN(I104,I105))</f>
        <v>9.8425198787897622E-5</v>
      </c>
      <c r="J106" s="224">
        <f t="shared" si="25"/>
        <v>9.8425198787897622E-5</v>
      </c>
      <c r="K106" s="224">
        <f t="shared" si="25"/>
        <v>9.8425194912889872E-5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16"/>
      <c r="B107" s="209"/>
      <c r="C107" s="154"/>
    </row>
    <row r="108" spans="1:19" x14ac:dyDescent="0.25">
      <c r="A108" s="116"/>
      <c r="B108" s="209"/>
      <c r="C108" s="154"/>
      <c r="G108" s="223" t="s">
        <v>308</v>
      </c>
      <c r="H108" s="223"/>
      <c r="I108" s="223"/>
      <c r="J108" s="223"/>
      <c r="K108" s="223"/>
      <c r="L108" s="223"/>
      <c r="M108" s="223"/>
      <c r="N108" s="223"/>
      <c r="O108" s="223"/>
      <c r="P108" s="223"/>
    </row>
    <row r="109" spans="1:19" x14ac:dyDescent="0.25">
      <c r="A109" s="116"/>
      <c r="B109" s="209"/>
      <c r="C109" s="154"/>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1: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1:19" x14ac:dyDescent="0.25">
      <c r="H114" s="102" t="s">
        <v>255</v>
      </c>
      <c r="I114" s="102"/>
      <c r="J114" s="102"/>
      <c r="K114" s="102"/>
      <c r="L114" s="102"/>
      <c r="M114" s="102"/>
      <c r="N114" s="102"/>
      <c r="O114" s="102"/>
      <c r="P114" s="102"/>
      <c r="Q114" s="102"/>
      <c r="R114" s="102"/>
      <c r="S114" s="102"/>
    </row>
    <row r="115" spans="1:19" s="154" customFormat="1" x14ac:dyDescent="0.25">
      <c r="A115" s="81"/>
      <c r="B115" s="81"/>
      <c r="C115" s="81"/>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1:19" s="154" customFormat="1" x14ac:dyDescent="0.25">
      <c r="A116" s="81"/>
      <c r="B116" s="81"/>
      <c r="C116" s="81"/>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1:19" s="154" customFormat="1"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1:19" s="154" customFormat="1"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1:19" x14ac:dyDescent="0.25">
      <c r="H119" s="102" t="s">
        <v>256</v>
      </c>
      <c r="I119" s="102"/>
      <c r="J119" s="102"/>
      <c r="K119" s="102"/>
      <c r="L119" s="102"/>
      <c r="M119" s="102"/>
      <c r="N119" s="102"/>
      <c r="O119" s="102"/>
      <c r="P119" s="102"/>
      <c r="Q119" s="102"/>
      <c r="R119" s="102"/>
      <c r="S119" s="102"/>
    </row>
    <row r="120" spans="1:19" x14ac:dyDescent="0.25">
      <c r="B120" s="253"/>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1: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1: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1: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32" spans="1:3" x14ac:dyDescent="0.25">
      <c r="A132" s="154"/>
      <c r="B132" s="154"/>
      <c r="C132" s="154"/>
    </row>
    <row r="133" spans="1:3" x14ac:dyDescent="0.25">
      <c r="A133" s="154"/>
      <c r="B133" s="154"/>
      <c r="C133" s="154"/>
    </row>
    <row r="134" spans="1:3" x14ac:dyDescent="0.25">
      <c r="A134" s="154"/>
      <c r="B134" s="154"/>
      <c r="C134" s="154"/>
    </row>
    <row r="135" spans="1:3" x14ac:dyDescent="0.25">
      <c r="A135" s="154"/>
      <c r="B135" s="154"/>
      <c r="C135" s="154"/>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6"/>
  <sheetViews>
    <sheetView tabSelected="1" topLeftCell="B9" zoomScale="75" zoomScaleNormal="75" zoomScalePageLayoutView="75" workbookViewId="0">
      <selection activeCell="K33" sqref="K33"/>
    </sheetView>
  </sheetViews>
  <sheetFormatPr defaultColWidth="11" defaultRowHeight="15.75" x14ac:dyDescent="0.25"/>
  <cols>
    <col min="1" max="1" width="45.375" style="81" customWidth="1"/>
    <col min="2" max="2" width="22.625" style="81" customWidth="1"/>
    <col min="3" max="3" width="38.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Loads'!A78</f>
        <v>CS 3</v>
      </c>
      <c r="B1" s="205" t="str">
        <f>'CSs and Loads'!A88</f>
        <v>member 3</v>
      </c>
    </row>
    <row r="2" spans="1:18" ht="16.5" thickBot="1" x14ac:dyDescent="0.3">
      <c r="A2" s="82" t="s">
        <v>132</v>
      </c>
      <c r="E2" s="176"/>
      <c r="F2" s="176"/>
      <c r="G2" s="176"/>
      <c r="H2" s="176"/>
      <c r="I2" s="242"/>
      <c r="J2" s="176"/>
      <c r="K2" s="176"/>
      <c r="L2" s="243"/>
      <c r="M2" s="243"/>
      <c r="N2" s="207"/>
    </row>
    <row r="3" spans="1:18" x14ac:dyDescent="0.25">
      <c r="A3" s="208" t="s">
        <v>111</v>
      </c>
      <c r="D3" s="241"/>
      <c r="E3" s="345" t="s">
        <v>372</v>
      </c>
      <c r="F3" s="346"/>
      <c r="G3" s="346"/>
      <c r="H3" s="346"/>
      <c r="I3" s="346"/>
      <c r="J3" s="346"/>
      <c r="K3" s="346"/>
      <c r="L3" s="346"/>
      <c r="M3" s="347"/>
      <c r="N3" s="181"/>
      <c r="O3" s="209"/>
      <c r="P3" s="209"/>
      <c r="Q3" s="209"/>
      <c r="R3" s="209"/>
    </row>
    <row r="4" spans="1:18" x14ac:dyDescent="0.25">
      <c r="A4" s="82" t="s">
        <v>321</v>
      </c>
      <c r="B4" s="118" t="s">
        <v>409</v>
      </c>
      <c r="C4" s="82" t="s">
        <v>369</v>
      </c>
      <c r="D4" s="169"/>
      <c r="E4" s="353" t="s">
        <v>346</v>
      </c>
      <c r="F4" s="354"/>
      <c r="G4" s="354"/>
      <c r="H4" s="354"/>
      <c r="I4" s="354"/>
      <c r="J4" s="354"/>
      <c r="K4" s="354"/>
      <c r="L4" s="354"/>
      <c r="M4" s="355"/>
      <c r="N4" s="181"/>
      <c r="R4" s="209"/>
    </row>
    <row r="5" spans="1:18" x14ac:dyDescent="0.25">
      <c r="A5" s="114" t="s">
        <v>339</v>
      </c>
      <c r="B5" s="118" t="s">
        <v>60</v>
      </c>
      <c r="C5" s="102" t="s">
        <v>367</v>
      </c>
      <c r="D5" s="169">
        <v>25</v>
      </c>
      <c r="E5" s="182" t="s">
        <v>282</v>
      </c>
      <c r="F5" s="248" t="s">
        <v>285</v>
      </c>
      <c r="G5" s="147">
        <f>B12^3/(48*B7*B17)</f>
        <v>6.1903605486770484E-5</v>
      </c>
      <c r="H5" s="81">
        <v>0</v>
      </c>
      <c r="I5" s="154">
        <v>0</v>
      </c>
      <c r="J5" s="154">
        <v>0</v>
      </c>
      <c r="K5" s="236">
        <v>0</v>
      </c>
      <c r="L5" s="154">
        <v>0</v>
      </c>
      <c r="M5" s="183" t="s">
        <v>276</v>
      </c>
      <c r="N5" s="181"/>
      <c r="R5" s="209"/>
    </row>
    <row r="6" spans="1:18" x14ac:dyDescent="0.25">
      <c r="A6" s="114" t="s">
        <v>342</v>
      </c>
      <c r="B6" s="118" t="s">
        <v>406</v>
      </c>
      <c r="C6" s="102" t="s">
        <v>32</v>
      </c>
      <c r="D6" s="169">
        <f>1770*9.8</f>
        <v>17346</v>
      </c>
      <c r="E6" s="182" t="s">
        <v>283</v>
      </c>
      <c r="F6" s="248"/>
      <c r="G6" s="154">
        <v>0</v>
      </c>
      <c r="H6" s="142">
        <f>B12^3/(48*B7*B18)</f>
        <v>6.1903605486770484E-5</v>
      </c>
      <c r="I6" s="154">
        <v>0</v>
      </c>
      <c r="J6" s="236">
        <v>0</v>
      </c>
      <c r="K6" s="154">
        <v>0</v>
      </c>
      <c r="L6" s="154">
        <v>0</v>
      </c>
      <c r="M6" s="183" t="s">
        <v>277</v>
      </c>
      <c r="N6" s="181"/>
      <c r="R6" s="209"/>
    </row>
    <row r="7" spans="1:18" x14ac:dyDescent="0.25">
      <c r="A7" s="102" t="s">
        <v>291</v>
      </c>
      <c r="B7" s="82">
        <v>13000</v>
      </c>
      <c r="C7" s="102" t="s">
        <v>243</v>
      </c>
      <c r="D7" s="169">
        <f>647*1000</f>
        <v>647000</v>
      </c>
      <c r="E7" s="182" t="s">
        <v>284</v>
      </c>
      <c r="F7" s="248"/>
      <c r="G7" s="154">
        <v>0</v>
      </c>
      <c r="H7" s="81">
        <v>0</v>
      </c>
      <c r="I7" s="142">
        <f>B12/(4*B7*B16)</f>
        <v>1.3040891466398317E-6</v>
      </c>
      <c r="J7" s="81">
        <v>0</v>
      </c>
      <c r="K7" s="81">
        <v>0</v>
      </c>
      <c r="L7" s="81">
        <v>0</v>
      </c>
      <c r="M7" s="183" t="s">
        <v>278</v>
      </c>
      <c r="N7" s="181"/>
      <c r="R7" s="209"/>
    </row>
    <row r="8" spans="1:18" x14ac:dyDescent="0.25">
      <c r="A8" s="102" t="s">
        <v>287</v>
      </c>
      <c r="B8" s="82">
        <v>0.38</v>
      </c>
      <c r="C8" s="102" t="s">
        <v>33</v>
      </c>
      <c r="D8" s="169">
        <v>3</v>
      </c>
      <c r="E8" s="182" t="s">
        <v>273</v>
      </c>
      <c r="F8" s="248"/>
      <c r="G8" s="148">
        <v>0</v>
      </c>
      <c r="H8" s="236">
        <v>0</v>
      </c>
      <c r="I8" s="81">
        <v>0</v>
      </c>
      <c r="J8" s="142">
        <f>5*B12/(12*B7*B18)</f>
        <v>2.5266777749702239E-9</v>
      </c>
      <c r="K8" s="81">
        <v>0</v>
      </c>
      <c r="L8" s="81">
        <v>0</v>
      </c>
      <c r="M8" s="183" t="s">
        <v>279</v>
      </c>
      <c r="N8" s="181"/>
      <c r="R8" s="209"/>
    </row>
    <row r="9" spans="1:18" x14ac:dyDescent="0.25">
      <c r="A9" s="102" t="s">
        <v>292</v>
      </c>
      <c r="B9" s="97">
        <f>B7/(2*(1+B8))</f>
        <v>4710.144927536232</v>
      </c>
      <c r="C9" s="102" t="s">
        <v>34</v>
      </c>
      <c r="D9" s="169">
        <v>0.01</v>
      </c>
      <c r="E9" s="182" t="s">
        <v>275</v>
      </c>
      <c r="F9" s="248"/>
      <c r="G9" s="236">
        <v>0</v>
      </c>
      <c r="H9" s="81">
        <v>0</v>
      </c>
      <c r="I9" s="81">
        <v>0</v>
      </c>
      <c r="J9" s="81">
        <v>0</v>
      </c>
      <c r="K9" s="142">
        <f>5*B12/(12*B7*B17)</f>
        <v>2.5266777749702239E-9</v>
      </c>
      <c r="L9" s="81">
        <v>0</v>
      </c>
      <c r="M9" s="183" t="s">
        <v>280</v>
      </c>
      <c r="N9" s="181"/>
      <c r="R9" s="209"/>
    </row>
    <row r="10" spans="1:18" ht="16.5" thickBot="1" x14ac:dyDescent="0.3">
      <c r="A10" s="211" t="s">
        <v>398</v>
      </c>
      <c r="B10" s="82"/>
      <c r="C10" s="102" t="s">
        <v>288</v>
      </c>
      <c r="D10" s="237">
        <f>D6/(D8*D9)</f>
        <v>578200</v>
      </c>
      <c r="E10" s="184" t="s">
        <v>274</v>
      </c>
      <c r="F10" s="249"/>
      <c r="G10" s="193">
        <v>0</v>
      </c>
      <c r="H10" s="166">
        <v>0</v>
      </c>
      <c r="I10" s="166">
        <v>0</v>
      </c>
      <c r="J10" s="166">
        <v>0</v>
      </c>
      <c r="K10" s="166">
        <v>0</v>
      </c>
      <c r="L10" s="190">
        <f>B12/(4*B9*B19)</f>
        <v>1.5474032527184508E-10</v>
      </c>
      <c r="M10" s="187" t="s">
        <v>281</v>
      </c>
      <c r="N10" s="181"/>
      <c r="R10" s="209"/>
    </row>
    <row r="11" spans="1:18" x14ac:dyDescent="0.25">
      <c r="A11" s="102" t="s">
        <v>347</v>
      </c>
      <c r="B11" s="119">
        <f>B12/2</f>
        <v>350</v>
      </c>
      <c r="C11" s="102" t="s">
        <v>35</v>
      </c>
      <c r="D11" s="82">
        <v>25</v>
      </c>
      <c r="E11" s="163"/>
      <c r="F11" s="163"/>
      <c r="G11" s="163"/>
      <c r="H11" s="163"/>
      <c r="I11" s="162"/>
      <c r="J11" s="163"/>
      <c r="K11" s="163"/>
      <c r="L11" s="163"/>
      <c r="M11" s="163"/>
      <c r="O11" s="149"/>
      <c r="R11" s="209"/>
    </row>
    <row r="12" spans="1:18" x14ac:dyDescent="0.25">
      <c r="A12" s="102" t="s">
        <v>234</v>
      </c>
      <c r="B12" s="119">
        <v>700</v>
      </c>
      <c r="C12" s="102" t="s">
        <v>379</v>
      </c>
      <c r="D12" s="101">
        <f>D7*D11^2/4</f>
        <v>101093750</v>
      </c>
      <c r="I12" s="82"/>
      <c r="O12" s="149"/>
      <c r="R12" s="209"/>
    </row>
    <row r="13" spans="1:18" x14ac:dyDescent="0.25">
      <c r="A13" s="102" t="s">
        <v>412</v>
      </c>
      <c r="B13" s="82">
        <f>4*25.4</f>
        <v>101.6</v>
      </c>
      <c r="C13" s="102" t="s">
        <v>289</v>
      </c>
      <c r="D13" s="101">
        <f>D7*D11^2/12</f>
        <v>33697916.666666664</v>
      </c>
      <c r="I13" s="82"/>
      <c r="O13" s="149"/>
      <c r="R13" s="209"/>
    </row>
    <row r="14" spans="1:18" x14ac:dyDescent="0.25">
      <c r="A14" s="102" t="s">
        <v>411</v>
      </c>
      <c r="B14" s="82">
        <f>4*25.4</f>
        <v>101.6</v>
      </c>
      <c r="C14" s="102" t="s">
        <v>290</v>
      </c>
      <c r="D14" s="97">
        <f>D13</f>
        <v>33697916.666666664</v>
      </c>
      <c r="I14" s="82"/>
      <c r="O14" s="149"/>
      <c r="R14" s="209"/>
    </row>
    <row r="15" spans="1:18" x14ac:dyDescent="0.25">
      <c r="A15" s="102" t="s">
        <v>271</v>
      </c>
      <c r="B15" s="82">
        <v>0</v>
      </c>
      <c r="C15" s="114" t="s">
        <v>368</v>
      </c>
      <c r="D15" s="82"/>
      <c r="I15" s="82"/>
      <c r="O15" s="149"/>
      <c r="R15" s="209"/>
    </row>
    <row r="16" spans="1:18" x14ac:dyDescent="0.25">
      <c r="A16" s="102" t="s">
        <v>272</v>
      </c>
      <c r="B16" s="97">
        <f>B13*B14</f>
        <v>10322.56</v>
      </c>
      <c r="C16" s="115" t="s">
        <v>267</v>
      </c>
      <c r="D16" s="118" t="s">
        <v>10</v>
      </c>
      <c r="I16" s="82"/>
      <c r="O16" s="149"/>
      <c r="R16" s="209"/>
    </row>
    <row r="17" spans="1:19" x14ac:dyDescent="0.25">
      <c r="A17" s="258" t="s">
        <v>410</v>
      </c>
      <c r="B17" s="98">
        <f>B14*B13^3/12</f>
        <v>8879603.7461333331</v>
      </c>
      <c r="C17" s="116" t="s">
        <v>269</v>
      </c>
      <c r="D17" s="82">
        <v>12</v>
      </c>
      <c r="I17" s="82"/>
      <c r="O17" s="149"/>
      <c r="R17" s="209"/>
    </row>
    <row r="18" spans="1:19" x14ac:dyDescent="0.25">
      <c r="A18" s="258" t="s">
        <v>404</v>
      </c>
      <c r="B18" s="98">
        <f>B13*B14^3/12</f>
        <v>8879603.7461333331</v>
      </c>
      <c r="C18" s="116" t="s">
        <v>234</v>
      </c>
      <c r="D18" s="97">
        <v>100</v>
      </c>
      <c r="I18" s="82"/>
      <c r="O18" s="149"/>
      <c r="R18" s="209"/>
    </row>
    <row r="19" spans="1:19" x14ac:dyDescent="0.25">
      <c r="A19" s="102" t="s">
        <v>236</v>
      </c>
      <c r="B19" s="98">
        <f>B14*B13^3*((16/3)-3.36*(B13/B14)*(1-B13^4/(12*B14^4)))</f>
        <v>240104485.29544532</v>
      </c>
      <c r="C19" s="102" t="s">
        <v>54</v>
      </c>
      <c r="D19" s="117">
        <v>200000</v>
      </c>
      <c r="I19" s="82"/>
      <c r="O19" s="149"/>
      <c r="R19" s="209"/>
    </row>
    <row r="20" spans="1:19" x14ac:dyDescent="0.25">
      <c r="A20" s="102" t="s">
        <v>337</v>
      </c>
      <c r="B20" s="97">
        <f>B18/B16</f>
        <v>860.21333333333337</v>
      </c>
      <c r="C20" s="116" t="s">
        <v>268</v>
      </c>
      <c r="D20" s="98">
        <f t="shared" ref="D20" si="0">PI()*D17^2/4*D19/D18</f>
        <v>226194.67105846509</v>
      </c>
      <c r="I20" s="82"/>
      <c r="O20" s="149"/>
      <c r="R20" s="209"/>
    </row>
    <row r="21" spans="1:19" ht="16.5" thickBot="1" x14ac:dyDescent="0.3">
      <c r="A21" s="239" t="s">
        <v>314</v>
      </c>
      <c r="B21" s="245">
        <f>3*B7*B18/B12^3</f>
        <v>1009.634245187172</v>
      </c>
      <c r="C21" s="239" t="s">
        <v>320</v>
      </c>
      <c r="D21" s="229">
        <v>3</v>
      </c>
      <c r="E21" s="176"/>
      <c r="F21" s="176"/>
      <c r="G21" s="176"/>
      <c r="H21" s="176"/>
      <c r="I21" s="229"/>
      <c r="J21" s="176"/>
      <c r="K21" s="176"/>
      <c r="L21" s="176"/>
      <c r="M21" s="176"/>
      <c r="O21" s="149"/>
      <c r="R21" s="209"/>
    </row>
    <row r="22" spans="1:19" ht="16.5" thickBot="1" x14ac:dyDescent="0.3">
      <c r="A22" s="374" t="s">
        <v>354</v>
      </c>
      <c r="B22" s="375"/>
      <c r="C22" s="375"/>
      <c r="D22" s="375"/>
      <c r="E22" s="375"/>
      <c r="F22" s="375"/>
      <c r="G22" s="375"/>
      <c r="H22" s="375"/>
      <c r="I22" s="375"/>
      <c r="J22" s="375"/>
      <c r="K22" s="375"/>
      <c r="L22" s="375"/>
      <c r="M22" s="376"/>
      <c r="N22" s="181"/>
      <c r="O22" s="149"/>
      <c r="R22" s="209"/>
    </row>
    <row r="23" spans="1:19" ht="31.5" x14ac:dyDescent="0.25">
      <c r="A23" s="272" t="s">
        <v>374</v>
      </c>
      <c r="B23" s="232"/>
      <c r="C23" s="240" t="s">
        <v>265</v>
      </c>
      <c r="D23" s="163"/>
      <c r="E23" s="163"/>
      <c r="F23" s="163"/>
      <c r="G23" s="163"/>
      <c r="H23" s="162"/>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40000000</v>
      </c>
      <c r="C25" s="218">
        <v>0</v>
      </c>
      <c r="O25" s="209"/>
      <c r="P25" s="209"/>
      <c r="Q25" s="209"/>
      <c r="R25" s="209"/>
    </row>
    <row r="26" spans="1:19" x14ac:dyDescent="0.25">
      <c r="A26" s="217" t="s">
        <v>118</v>
      </c>
      <c r="B26" s="152">
        <f>SUM(H36:S36)+C26</f>
        <v>40000000</v>
      </c>
      <c r="C26" s="218">
        <v>0</v>
      </c>
      <c r="G26" s="242" t="s">
        <v>185</v>
      </c>
      <c r="O26" s="209"/>
      <c r="P26" s="209"/>
      <c r="Q26" s="209"/>
      <c r="R26" s="209"/>
    </row>
    <row r="27" spans="1:19" x14ac:dyDescent="0.25">
      <c r="A27" s="217" t="s">
        <v>119</v>
      </c>
      <c r="B27" s="152">
        <f>SUM(H37:S37)+C27</f>
        <v>10075398.223686155</v>
      </c>
      <c r="C27" s="236">
        <f>D20/D21</f>
        <v>75398.223686155034</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26210775000</v>
      </c>
      <c r="C29" s="218">
        <v>0</v>
      </c>
      <c r="D29" s="87"/>
      <c r="E29" s="87"/>
      <c r="F29" s="87"/>
      <c r="H29" s="365" t="s">
        <v>129</v>
      </c>
      <c r="I29" s="365"/>
      <c r="J29" s="365"/>
      <c r="K29" s="365"/>
      <c r="L29" s="365"/>
      <c r="M29" s="365"/>
      <c r="N29" s="365"/>
      <c r="O29" s="365"/>
      <c r="P29" s="365"/>
      <c r="Q29" s="365"/>
      <c r="R29" s="365"/>
      <c r="S29" s="365"/>
    </row>
    <row r="30" spans="1:19" x14ac:dyDescent="0.25">
      <c r="A30" s="217" t="s">
        <v>120</v>
      </c>
      <c r="B30" s="152">
        <f>SUM(H40:S40)+SUM(H44:S44)+C30</f>
        <v>134791666.66666666</v>
      </c>
      <c r="C30" s="218">
        <v>0</v>
      </c>
      <c r="D30" s="87"/>
      <c r="E30" s="87"/>
      <c r="F30" s="87"/>
      <c r="G30" s="82" t="s">
        <v>114</v>
      </c>
      <c r="H30" s="86">
        <v>1</v>
      </c>
      <c r="I30" s="86">
        <f>H30+1</f>
        <v>2</v>
      </c>
      <c r="J30" s="86">
        <f t="shared" ref="J30:R30" si="1">I30+1</f>
        <v>3</v>
      </c>
      <c r="K30" s="86">
        <f t="shared" si="1"/>
        <v>4</v>
      </c>
      <c r="L30" s="86">
        <f t="shared" si="1"/>
        <v>5</v>
      </c>
      <c r="M30" s="86">
        <f t="shared" si="1"/>
        <v>6</v>
      </c>
      <c r="N30" s="86">
        <f t="shared" si="1"/>
        <v>7</v>
      </c>
      <c r="O30" s="86">
        <f t="shared" si="1"/>
        <v>8</v>
      </c>
      <c r="P30" s="86">
        <f>O30+1</f>
        <v>9</v>
      </c>
      <c r="Q30" s="86">
        <f t="shared" si="1"/>
        <v>10</v>
      </c>
      <c r="R30" s="86">
        <f t="shared" si="1"/>
        <v>11</v>
      </c>
      <c r="S30" s="86">
        <f>R30+1</f>
        <v>12</v>
      </c>
    </row>
    <row r="31" spans="1:19" x14ac:dyDescent="0.25">
      <c r="A31" s="217" t="s">
        <v>116</v>
      </c>
      <c r="B31" s="152">
        <f>SUM(H41:S41)+SUM(H45:S45)+C31</f>
        <v>154973191666.66666</v>
      </c>
      <c r="C31" s="218">
        <v>0</v>
      </c>
      <c r="D31" s="87"/>
      <c r="E31" s="87"/>
      <c r="F31" s="87"/>
      <c r="G31" s="102" t="s">
        <v>42</v>
      </c>
      <c r="H31" s="213">
        <v>0</v>
      </c>
      <c r="I31" s="213">
        <f>2*25.4</f>
        <v>50.8</v>
      </c>
      <c r="J31" s="213">
        <f>2*25.4</f>
        <v>50.8</v>
      </c>
      <c r="K31" s="213">
        <v>0</v>
      </c>
      <c r="L31" s="213">
        <v>0</v>
      </c>
      <c r="M31" s="213">
        <v>0</v>
      </c>
      <c r="N31" s="213">
        <v>0</v>
      </c>
      <c r="O31" s="213">
        <v>0</v>
      </c>
      <c r="P31" s="213">
        <v>0</v>
      </c>
      <c r="Q31" s="213">
        <v>0</v>
      </c>
      <c r="R31" s="213">
        <v>0</v>
      </c>
      <c r="S31" s="213">
        <v>0</v>
      </c>
    </row>
    <row r="32" spans="1:19" x14ac:dyDescent="0.25">
      <c r="A32" s="366" t="s">
        <v>190</v>
      </c>
      <c r="B32" s="366"/>
      <c r="C32" s="366"/>
      <c r="D32" s="87"/>
      <c r="E32" s="87"/>
      <c r="F32" s="87"/>
      <c r="G32" s="102" t="s">
        <v>43</v>
      </c>
      <c r="H32" s="213">
        <f>2*25.4</f>
        <v>50.8</v>
      </c>
      <c r="I32" s="213">
        <f>2*25.4</f>
        <v>50.8</v>
      </c>
      <c r="J32" s="213">
        <f>-2*25.4</f>
        <v>-50.8</v>
      </c>
      <c r="K32" s="213">
        <f>2*25.4</f>
        <v>50.8</v>
      </c>
      <c r="L32" s="213">
        <v>0</v>
      </c>
      <c r="M32" s="213">
        <v>0</v>
      </c>
      <c r="N32" s="213">
        <v>0</v>
      </c>
      <c r="O32" s="213">
        <v>0</v>
      </c>
      <c r="P32" s="213">
        <v>0</v>
      </c>
      <c r="Q32" s="213">
        <v>0</v>
      </c>
      <c r="R32" s="213">
        <v>0</v>
      </c>
      <c r="S32" s="213">
        <v>0</v>
      </c>
    </row>
    <row r="33" spans="1:19" x14ac:dyDescent="0.25">
      <c r="A33" s="366"/>
      <c r="B33" s="366"/>
      <c r="C33" s="366"/>
      <c r="D33" s="87"/>
      <c r="E33" s="87"/>
      <c r="F33" s="87"/>
      <c r="G33" s="102" t="s">
        <v>44</v>
      </c>
      <c r="H33" s="213">
        <v>0</v>
      </c>
      <c r="I33" s="213">
        <v>0</v>
      </c>
      <c r="J33" s="213">
        <v>0</v>
      </c>
      <c r="K33" s="213">
        <v>0</v>
      </c>
      <c r="L33" s="213">
        <v>0</v>
      </c>
      <c r="M33" s="213">
        <v>0</v>
      </c>
      <c r="N33" s="213">
        <v>0</v>
      </c>
      <c r="O33" s="213">
        <v>0</v>
      </c>
      <c r="P33" s="213">
        <v>0</v>
      </c>
      <c r="Q33" s="213">
        <v>0</v>
      </c>
      <c r="R33" s="213">
        <v>0</v>
      </c>
      <c r="S33" s="213">
        <v>0</v>
      </c>
    </row>
    <row r="34" spans="1:19" x14ac:dyDescent="0.25">
      <c r="A34" s="366"/>
      <c r="B34" s="366"/>
      <c r="C34" s="366"/>
      <c r="G34" s="82" t="s">
        <v>130</v>
      </c>
      <c r="H34" s="367"/>
      <c r="I34" s="367"/>
      <c r="J34" s="367"/>
      <c r="K34" s="367"/>
    </row>
    <row r="35" spans="1:19" x14ac:dyDescent="0.25">
      <c r="A35" s="220" t="s">
        <v>186</v>
      </c>
      <c r="B35" s="213"/>
      <c r="C35" s="213"/>
      <c r="D35" s="87"/>
      <c r="E35" s="87"/>
      <c r="F35" s="87"/>
      <c r="G35" s="102" t="s">
        <v>117</v>
      </c>
      <c r="H35" s="142">
        <f>10^7</f>
        <v>10000000</v>
      </c>
      <c r="I35" s="142">
        <f>H35</f>
        <v>10000000</v>
      </c>
      <c r="J35" s="142">
        <f>I35</f>
        <v>10000000</v>
      </c>
      <c r="K35" s="142">
        <f>J35</f>
        <v>10000000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 t="shared" ref="H36:H37" si="2">10^7</f>
        <v>10000000</v>
      </c>
      <c r="I36" s="142">
        <f>H36</f>
        <v>10000000</v>
      </c>
      <c r="J36" s="142">
        <f t="shared" ref="J36:K36" si="3">I36</f>
        <v>10000000</v>
      </c>
      <c r="K36" s="142">
        <f t="shared" si="3"/>
        <v>10000000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 t="shared" si="2"/>
        <v>10000000</v>
      </c>
      <c r="I37" s="142">
        <v>0</v>
      </c>
      <c r="J37" s="142">
        <v>0</v>
      </c>
      <c r="K37" s="142">
        <v>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67"/>
      <c r="I38" s="367"/>
      <c r="J38" s="367"/>
      <c r="K38" s="367"/>
    </row>
    <row r="39" spans="1:19" x14ac:dyDescent="0.25">
      <c r="A39" s="102" t="s">
        <v>189</v>
      </c>
      <c r="B39" s="213">
        <v>0</v>
      </c>
      <c r="D39" s="87"/>
      <c r="E39" s="87"/>
      <c r="F39" s="87"/>
      <c r="G39" s="102" t="s">
        <v>8</v>
      </c>
      <c r="H39" s="142">
        <f>'ref bearings, servo, structure'!B10</f>
        <v>101093750</v>
      </c>
      <c r="I39" s="142">
        <f>H39</f>
        <v>101093750</v>
      </c>
      <c r="J39" s="142">
        <f t="shared" ref="J39:K39" si="4">I39</f>
        <v>101093750</v>
      </c>
      <c r="K39" s="142">
        <f t="shared" si="4"/>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5">H40</f>
        <v>33697916.666666664</v>
      </c>
      <c r="J40" s="142">
        <f t="shared" si="5"/>
        <v>33697916.666666664</v>
      </c>
      <c r="K40" s="142">
        <f t="shared" si="5"/>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5"/>
        <v>33697916.666666664</v>
      </c>
      <c r="J41" s="142">
        <f t="shared" si="5"/>
        <v>33697916.666666664</v>
      </c>
      <c r="K41" s="142">
        <f t="shared" si="5"/>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25806400000</v>
      </c>
      <c r="I43" s="152">
        <f t="shared" ref="I43:S43" si="6">I36*I33^2+I37*I32^2</f>
        <v>0</v>
      </c>
      <c r="J43" s="152">
        <f t="shared" si="6"/>
        <v>0</v>
      </c>
      <c r="K43" s="152">
        <f t="shared" si="6"/>
        <v>0</v>
      </c>
      <c r="L43" s="105">
        <f t="shared" si="6"/>
        <v>0</v>
      </c>
      <c r="M43" s="105">
        <f t="shared" si="6"/>
        <v>0</v>
      </c>
      <c r="N43" s="105">
        <f t="shared" si="6"/>
        <v>0</v>
      </c>
      <c r="O43" s="105">
        <f t="shared" si="6"/>
        <v>0</v>
      </c>
      <c r="P43" s="105">
        <f t="shared" si="6"/>
        <v>0</v>
      </c>
      <c r="Q43" s="105">
        <f t="shared" si="6"/>
        <v>0</v>
      </c>
      <c r="R43" s="105">
        <f t="shared" si="6"/>
        <v>0</v>
      </c>
      <c r="S43" s="105">
        <f t="shared" si="6"/>
        <v>0</v>
      </c>
    </row>
    <row r="44" spans="1:19" x14ac:dyDescent="0.25">
      <c r="A44" s="214" t="s">
        <v>207</v>
      </c>
      <c r="D44" s="218"/>
      <c r="E44" s="218"/>
      <c r="F44" s="218"/>
      <c r="G44" s="102" t="s">
        <v>120</v>
      </c>
      <c r="H44" s="152">
        <f>H35*H33^2+H37*H31^2</f>
        <v>0</v>
      </c>
      <c r="I44" s="152">
        <f t="shared" ref="I44:S44" si="7">I35*I33^2+I37*I31^2</f>
        <v>0</v>
      </c>
      <c r="J44" s="152">
        <f t="shared" si="7"/>
        <v>0</v>
      </c>
      <c r="K44" s="152">
        <f t="shared" si="7"/>
        <v>0</v>
      </c>
      <c r="L44" s="105">
        <f t="shared" si="7"/>
        <v>0</v>
      </c>
      <c r="M44" s="105">
        <f t="shared" si="7"/>
        <v>0</v>
      </c>
      <c r="N44" s="105">
        <f t="shared" si="7"/>
        <v>0</v>
      </c>
      <c r="O44" s="105">
        <f t="shared" si="7"/>
        <v>0</v>
      </c>
      <c r="P44" s="105">
        <f t="shared" si="7"/>
        <v>0</v>
      </c>
      <c r="Q44" s="105">
        <f t="shared" si="7"/>
        <v>0</v>
      </c>
      <c r="R44" s="105">
        <f t="shared" si="7"/>
        <v>0</v>
      </c>
      <c r="S44" s="105">
        <f t="shared" si="7"/>
        <v>0</v>
      </c>
    </row>
    <row r="45" spans="1:19" x14ac:dyDescent="0.25">
      <c r="A45" s="102" t="s">
        <v>121</v>
      </c>
      <c r="B45" s="105">
        <f>SQRT((H47^2+I47^2+J47^2+K47^2+L47^2+M47^2+N47^2+O47^2+P47^2+Q47^2+R47^2+S47^2)/H$28)</f>
        <v>5.0000000000000001E-3</v>
      </c>
      <c r="C45" s="87"/>
      <c r="D45" s="218"/>
      <c r="E45" s="218"/>
      <c r="F45" s="218"/>
      <c r="G45" s="102" t="s">
        <v>116</v>
      </c>
      <c r="H45" s="152">
        <f>H35*H32^2+H36*H31^2</f>
        <v>25806400000</v>
      </c>
      <c r="I45" s="152">
        <f t="shared" ref="I45:S45" si="8">I35*I32^2+I36*I31^2</f>
        <v>51612800000</v>
      </c>
      <c r="J45" s="152">
        <f t="shared" si="8"/>
        <v>51612800000</v>
      </c>
      <c r="K45" s="152">
        <f t="shared" si="8"/>
        <v>25806400000</v>
      </c>
      <c r="L45" s="105">
        <f t="shared" si="8"/>
        <v>0</v>
      </c>
      <c r="M45" s="105">
        <f t="shared" si="8"/>
        <v>0</v>
      </c>
      <c r="N45" s="105">
        <f t="shared" si="8"/>
        <v>0</v>
      </c>
      <c r="O45" s="105">
        <f t="shared" si="8"/>
        <v>0</v>
      </c>
      <c r="P45" s="105">
        <f t="shared" si="8"/>
        <v>0</v>
      </c>
      <c r="Q45" s="105">
        <f t="shared" si="8"/>
        <v>0</v>
      </c>
      <c r="R45" s="105">
        <f t="shared" si="8"/>
        <v>0</v>
      </c>
      <c r="S45" s="105">
        <f t="shared" si="8"/>
        <v>0</v>
      </c>
    </row>
    <row r="46" spans="1:19" x14ac:dyDescent="0.25">
      <c r="A46" s="102" t="s">
        <v>122</v>
      </c>
      <c r="B46" s="105">
        <f t="shared" ref="B46:B47" si="9">SQRT((H48^2+I48^2+J48^2+K48^2+L48^2+M48^2+N48^2+O48^2+P48^2+Q48^2+R48^2+S48^2)/H$28)</f>
        <v>5.0000000000000001E-3</v>
      </c>
      <c r="C46" s="87"/>
      <c r="D46" s="218"/>
      <c r="E46" s="218"/>
      <c r="F46" s="218"/>
      <c r="G46" s="82" t="s">
        <v>307</v>
      </c>
    </row>
    <row r="47" spans="1:19" x14ac:dyDescent="0.25">
      <c r="A47" s="102" t="s">
        <v>123</v>
      </c>
      <c r="B47" s="105">
        <f t="shared" si="9"/>
        <v>5.0000000000000001E-3</v>
      </c>
      <c r="C47" s="87"/>
      <c r="D47" s="198"/>
      <c r="E47" s="198"/>
      <c r="F47" s="198"/>
      <c r="G47" s="102" t="s">
        <v>121</v>
      </c>
      <c r="H47" s="213">
        <f t="shared" ref="H47:K49" si="10">0.005</f>
        <v>5.0000000000000001E-3</v>
      </c>
      <c r="I47" s="213">
        <f t="shared" si="10"/>
        <v>5.0000000000000001E-3</v>
      </c>
      <c r="J47" s="213">
        <f t="shared" si="10"/>
        <v>5.0000000000000001E-3</v>
      </c>
      <c r="K47" s="213">
        <f t="shared" si="10"/>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9.8425195881641819E-5</v>
      </c>
      <c r="C48" s="87"/>
      <c r="D48" s="218"/>
      <c r="E48" s="218"/>
      <c r="F48" s="218"/>
      <c r="G48" s="102" t="s">
        <v>122</v>
      </c>
      <c r="H48" s="213">
        <f t="shared" si="10"/>
        <v>5.0000000000000001E-3</v>
      </c>
      <c r="I48" s="213">
        <f t="shared" si="10"/>
        <v>5.0000000000000001E-3</v>
      </c>
      <c r="J48" s="213">
        <f t="shared" si="10"/>
        <v>5.0000000000000001E-3</v>
      </c>
      <c r="K48" s="213">
        <f t="shared" si="10"/>
        <v>5.0000000000000001E-3</v>
      </c>
      <c r="L48" s="213">
        <v>0</v>
      </c>
      <c r="M48" s="213">
        <v>0</v>
      </c>
      <c r="N48" s="213">
        <v>0</v>
      </c>
      <c r="O48" s="213">
        <v>0</v>
      </c>
      <c r="P48" s="213">
        <v>0</v>
      </c>
      <c r="Q48" s="213">
        <v>0</v>
      </c>
      <c r="R48" s="213">
        <v>0</v>
      </c>
      <c r="S48" s="213">
        <v>0</v>
      </c>
    </row>
    <row r="49" spans="1:21" x14ac:dyDescent="0.25">
      <c r="A49" s="102" t="s">
        <v>86</v>
      </c>
      <c r="B49" s="105">
        <f>SQRT((H52^2+I52^2+J52^2+K52^2+L52^2+M52^2+N52^2+O52^2+P52^2+Q52^2+R52^2+S52^2+B38^2)/H$28)</f>
        <v>6.9597122762512102E-5</v>
      </c>
      <c r="C49" s="87"/>
      <c r="D49" s="218"/>
      <c r="E49" s="218"/>
      <c r="F49" s="218"/>
      <c r="G49" s="102" t="s">
        <v>123</v>
      </c>
      <c r="H49" s="213">
        <f t="shared" si="10"/>
        <v>5.0000000000000001E-3</v>
      </c>
      <c r="I49" s="213">
        <f t="shared" si="10"/>
        <v>5.0000000000000001E-3</v>
      </c>
      <c r="J49" s="213">
        <f t="shared" si="10"/>
        <v>5.0000000000000001E-3</v>
      </c>
      <c r="K49" s="213">
        <f t="shared" si="10"/>
        <v>5.0000000000000001E-3</v>
      </c>
      <c r="L49" s="213">
        <v>0</v>
      </c>
      <c r="M49" s="213">
        <v>0</v>
      </c>
      <c r="N49" s="213">
        <v>0</v>
      </c>
      <c r="O49" s="213">
        <v>0</v>
      </c>
      <c r="P49" s="213">
        <v>0</v>
      </c>
      <c r="Q49" s="213">
        <v>0</v>
      </c>
      <c r="R49" s="213">
        <v>0</v>
      </c>
      <c r="S49" s="213">
        <v>0</v>
      </c>
    </row>
    <row r="50" spans="1:21" x14ac:dyDescent="0.25">
      <c r="A50" s="102" t="s">
        <v>87</v>
      </c>
      <c r="B50" s="105">
        <f>SQRT((H53^2+I53^2+J53^2+K53^2+L53^2+M53^2+N53^2+O53^2+P53^2+Q53^2+R53^2+S53^2+B39^2)/H$28)</f>
        <v>9.8425194912889872E-5</v>
      </c>
      <c r="C50" s="87"/>
      <c r="D50" s="218"/>
      <c r="E50" s="218"/>
      <c r="F50" s="218"/>
      <c r="G50" s="82" t="s">
        <v>252</v>
      </c>
    </row>
    <row r="51" spans="1:21" ht="47.25" x14ac:dyDescent="0.25">
      <c r="A51" s="215" t="s">
        <v>208</v>
      </c>
      <c r="B51" s="107"/>
      <c r="D51" s="219"/>
      <c r="E51" s="219"/>
      <c r="F51" s="219"/>
      <c r="G51" s="102" t="s">
        <v>85</v>
      </c>
      <c r="H51" s="152">
        <f>H98</f>
        <v>9.8425194912889872E-5</v>
      </c>
      <c r="I51" s="152">
        <f t="shared" ref="I51:S51" si="11">I98</f>
        <v>9.8425194912889872E-5</v>
      </c>
      <c r="J51" s="152">
        <f t="shared" si="11"/>
        <v>9.8425198787897622E-5</v>
      </c>
      <c r="K51" s="152">
        <f t="shared" si="11"/>
        <v>9.8425194912889872E-5</v>
      </c>
      <c r="L51" s="152">
        <f t="shared" si="11"/>
        <v>0</v>
      </c>
      <c r="M51" s="152">
        <f t="shared" si="11"/>
        <v>0</v>
      </c>
      <c r="N51" s="152">
        <f t="shared" si="11"/>
        <v>0</v>
      </c>
      <c r="O51" s="152">
        <f t="shared" si="11"/>
        <v>0</v>
      </c>
      <c r="P51" s="152">
        <f t="shared" si="11"/>
        <v>0</v>
      </c>
      <c r="Q51" s="152">
        <f t="shared" si="11"/>
        <v>0</v>
      </c>
      <c r="R51" s="152">
        <f t="shared" si="11"/>
        <v>0</v>
      </c>
      <c r="S51" s="152">
        <f t="shared" si="11"/>
        <v>0</v>
      </c>
    </row>
    <row r="52" spans="1:21" x14ac:dyDescent="0.25">
      <c r="A52" s="102" t="s">
        <v>121</v>
      </c>
      <c r="B52" s="105">
        <f>SQRT((H55^2+I55^2+J55^2+K55^2+L55^2+M55^2+N55^2+O55^2+P55^2+Q55^2+R55^2+S55^2)/H$28)</f>
        <v>0</v>
      </c>
      <c r="C52" s="87"/>
      <c r="D52" s="219"/>
      <c r="E52" s="219"/>
      <c r="F52" s="219"/>
      <c r="G52" s="102" t="s">
        <v>86</v>
      </c>
      <c r="H52" s="152">
        <f>H102</f>
        <v>0</v>
      </c>
      <c r="I52" s="152">
        <f t="shared" ref="I52:S52" si="12">I102</f>
        <v>9.8425194912889872E-5</v>
      </c>
      <c r="J52" s="152">
        <f t="shared" si="12"/>
        <v>9.8425194912889872E-5</v>
      </c>
      <c r="K52" s="152">
        <f t="shared" si="12"/>
        <v>0</v>
      </c>
      <c r="L52" s="152">
        <f t="shared" si="12"/>
        <v>0</v>
      </c>
      <c r="M52" s="152">
        <f t="shared" si="12"/>
        <v>0</v>
      </c>
      <c r="N52" s="152">
        <f t="shared" si="12"/>
        <v>0</v>
      </c>
      <c r="O52" s="152">
        <f t="shared" si="12"/>
        <v>0</v>
      </c>
      <c r="P52" s="152">
        <f t="shared" si="12"/>
        <v>0</v>
      </c>
      <c r="Q52" s="152">
        <f t="shared" si="12"/>
        <v>0</v>
      </c>
      <c r="R52" s="152">
        <f t="shared" si="12"/>
        <v>0</v>
      </c>
      <c r="S52" s="152">
        <f t="shared" si="12"/>
        <v>0</v>
      </c>
      <c r="T52" s="83"/>
    </row>
    <row r="53" spans="1:21" x14ac:dyDescent="0.25">
      <c r="A53" s="102" t="s">
        <v>122</v>
      </c>
      <c r="B53" s="105">
        <f t="shared" ref="B53:B54" si="13">SQRT((H56^2+I56^2+J56^2+K56^2+L56^2+M56^2+N56^2+O56^2+P56^2+Q56^2+R56^2+S56^2)/H$28)</f>
        <v>0</v>
      </c>
      <c r="C53" s="87"/>
      <c r="D53" s="219"/>
      <c r="E53" s="219"/>
      <c r="F53" s="219"/>
      <c r="G53" s="102" t="s">
        <v>87</v>
      </c>
      <c r="H53" s="152">
        <f>H106</f>
        <v>9.8425194912889872E-5</v>
      </c>
      <c r="I53" s="152">
        <f t="shared" ref="I53:S53" si="14">I106</f>
        <v>9.8425194912889872E-5</v>
      </c>
      <c r="J53" s="152">
        <f t="shared" si="14"/>
        <v>9.8425194912889872E-5</v>
      </c>
      <c r="K53" s="152">
        <f t="shared" si="14"/>
        <v>9.8425194912889872E-5</v>
      </c>
      <c r="L53" s="152">
        <f t="shared" si="14"/>
        <v>0</v>
      </c>
      <c r="M53" s="152">
        <f t="shared" si="14"/>
        <v>0</v>
      </c>
      <c r="N53" s="152">
        <f t="shared" si="14"/>
        <v>0</v>
      </c>
      <c r="O53" s="152">
        <f t="shared" si="14"/>
        <v>0</v>
      </c>
      <c r="P53" s="152">
        <f t="shared" si="14"/>
        <v>0</v>
      </c>
      <c r="Q53" s="152">
        <f t="shared" si="14"/>
        <v>0</v>
      </c>
      <c r="R53" s="152">
        <f t="shared" si="14"/>
        <v>0</v>
      </c>
      <c r="S53" s="152">
        <f t="shared" si="14"/>
        <v>0</v>
      </c>
      <c r="U53" s="152"/>
    </row>
    <row r="54" spans="1:21" x14ac:dyDescent="0.25">
      <c r="A54" s="102" t="s">
        <v>123</v>
      </c>
      <c r="B54" s="105">
        <f t="shared" si="13"/>
        <v>0</v>
      </c>
      <c r="C54" s="87"/>
      <c r="D54" s="213"/>
      <c r="E54" s="213"/>
      <c r="F54" s="213"/>
      <c r="G54" s="82" t="s">
        <v>333</v>
      </c>
    </row>
    <row r="55" spans="1:21"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1"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1"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1" x14ac:dyDescent="0.25">
      <c r="B58" s="107"/>
      <c r="G58" s="82" t="s">
        <v>253</v>
      </c>
    </row>
    <row r="59" spans="1:21" x14ac:dyDescent="0.25">
      <c r="G59" s="102" t="s">
        <v>85</v>
      </c>
      <c r="H59" s="221">
        <f>H113</f>
        <v>0</v>
      </c>
      <c r="I59" s="221">
        <f t="shared" ref="I59:S59" si="15">I113</f>
        <v>0</v>
      </c>
      <c r="J59" s="221">
        <f t="shared" si="15"/>
        <v>0</v>
      </c>
      <c r="K59" s="221">
        <f t="shared" si="15"/>
        <v>0</v>
      </c>
      <c r="L59" s="221">
        <f t="shared" si="15"/>
        <v>0</v>
      </c>
      <c r="M59" s="221">
        <f t="shared" si="15"/>
        <v>0</v>
      </c>
      <c r="N59" s="221">
        <f t="shared" si="15"/>
        <v>0</v>
      </c>
      <c r="O59" s="221">
        <f t="shared" si="15"/>
        <v>0</v>
      </c>
      <c r="P59" s="221">
        <f t="shared" si="15"/>
        <v>0</v>
      </c>
      <c r="Q59" s="221">
        <f t="shared" si="15"/>
        <v>0</v>
      </c>
      <c r="R59" s="221">
        <f t="shared" si="15"/>
        <v>0</v>
      </c>
      <c r="S59" s="221">
        <f t="shared" si="15"/>
        <v>0</v>
      </c>
    </row>
    <row r="60" spans="1:21" x14ac:dyDescent="0.25">
      <c r="G60" s="102" t="s">
        <v>86</v>
      </c>
      <c r="H60" s="221">
        <f>H118</f>
        <v>0</v>
      </c>
      <c r="I60" s="221">
        <f t="shared" ref="I60:S60" si="16">I118</f>
        <v>0</v>
      </c>
      <c r="J60" s="221">
        <f t="shared" si="16"/>
        <v>0</v>
      </c>
      <c r="K60" s="221">
        <f t="shared" si="16"/>
        <v>0</v>
      </c>
      <c r="L60" s="221">
        <f t="shared" si="16"/>
        <v>0</v>
      </c>
      <c r="M60" s="221">
        <f t="shared" si="16"/>
        <v>0</v>
      </c>
      <c r="N60" s="221">
        <f t="shared" si="16"/>
        <v>0</v>
      </c>
      <c r="O60" s="221">
        <f t="shared" si="16"/>
        <v>0</v>
      </c>
      <c r="P60" s="221">
        <f t="shared" si="16"/>
        <v>0</v>
      </c>
      <c r="Q60" s="221">
        <f t="shared" si="16"/>
        <v>0</v>
      </c>
      <c r="R60" s="221">
        <f t="shared" si="16"/>
        <v>0</v>
      </c>
      <c r="S60" s="221">
        <f t="shared" si="16"/>
        <v>0</v>
      </c>
    </row>
    <row r="61" spans="1:21" x14ac:dyDescent="0.25">
      <c r="G61" s="102" t="s">
        <v>87</v>
      </c>
      <c r="H61" s="221">
        <f>H123</f>
        <v>0</v>
      </c>
      <c r="I61" s="221">
        <f t="shared" ref="I61:S61" si="17">I123</f>
        <v>0</v>
      </c>
      <c r="J61" s="221">
        <f t="shared" si="17"/>
        <v>0</v>
      </c>
      <c r="K61" s="221">
        <f t="shared" si="17"/>
        <v>0</v>
      </c>
      <c r="L61" s="221">
        <f t="shared" si="17"/>
        <v>0</v>
      </c>
      <c r="M61" s="221">
        <f t="shared" si="17"/>
        <v>0</v>
      </c>
      <c r="N61" s="221">
        <f t="shared" si="17"/>
        <v>0</v>
      </c>
      <c r="O61" s="221">
        <f t="shared" si="17"/>
        <v>0</v>
      </c>
      <c r="P61" s="221">
        <f t="shared" si="17"/>
        <v>0</v>
      </c>
      <c r="Q61" s="221">
        <f t="shared" si="17"/>
        <v>0</v>
      </c>
      <c r="R61" s="221">
        <f t="shared" si="17"/>
        <v>0</v>
      </c>
      <c r="S61" s="221">
        <f t="shared" si="17"/>
        <v>0</v>
      </c>
    </row>
    <row r="62" spans="1:21" x14ac:dyDescent="0.25">
      <c r="G62" s="214" t="s">
        <v>298</v>
      </c>
    </row>
    <row r="63" spans="1:21" s="154" customFormat="1" x14ac:dyDescent="0.25">
      <c r="G63" s="81"/>
      <c r="H63" s="81"/>
      <c r="I63" s="118"/>
      <c r="J63" s="118"/>
      <c r="K63" s="118"/>
      <c r="L63" s="118"/>
      <c r="M63" s="118"/>
      <c r="N63" s="118"/>
      <c r="O63" s="81"/>
    </row>
    <row r="64" spans="1:21" s="154" customFormat="1" x14ac:dyDescent="0.25">
      <c r="G64" s="119"/>
      <c r="H64" s="344"/>
      <c r="I64" s="222"/>
      <c r="J64" s="222"/>
      <c r="K64" s="222"/>
      <c r="L64" s="222"/>
      <c r="M64" s="222"/>
      <c r="N64" s="222"/>
      <c r="O64" s="118"/>
    </row>
    <row r="65" spans="1:15" s="154" customFormat="1" x14ac:dyDescent="0.25">
      <c r="G65" s="119"/>
      <c r="H65" s="344"/>
      <c r="I65" s="222"/>
      <c r="J65" s="222"/>
      <c r="K65" s="222"/>
      <c r="L65" s="222"/>
      <c r="M65" s="222"/>
      <c r="N65" s="222"/>
      <c r="O65" s="118"/>
    </row>
    <row r="66" spans="1:15" s="154" customFormat="1" x14ac:dyDescent="0.25">
      <c r="G66" s="119"/>
      <c r="H66" s="344"/>
      <c r="I66" s="222"/>
      <c r="J66" s="222"/>
      <c r="K66" s="222"/>
      <c r="L66" s="222"/>
      <c r="M66" s="222"/>
      <c r="N66" s="222"/>
      <c r="O66" s="118"/>
    </row>
    <row r="67" spans="1:15" s="154" customFormat="1" x14ac:dyDescent="0.25">
      <c r="G67" s="119"/>
      <c r="H67" s="344"/>
      <c r="I67" s="222"/>
      <c r="J67" s="222"/>
      <c r="K67" s="222"/>
      <c r="L67" s="222"/>
      <c r="M67" s="222"/>
      <c r="N67" s="222"/>
      <c r="O67" s="118"/>
    </row>
    <row r="68" spans="1:15" s="154" customFormat="1" x14ac:dyDescent="0.25">
      <c r="G68" s="119"/>
      <c r="H68" s="344"/>
      <c r="I68" s="222"/>
      <c r="J68" s="222"/>
      <c r="K68" s="222"/>
      <c r="L68" s="222"/>
      <c r="M68" s="222"/>
      <c r="N68" s="222"/>
      <c r="O68" s="118"/>
    </row>
    <row r="69" spans="1:15" s="154" customFormat="1" x14ac:dyDescent="0.25">
      <c r="G69" s="119"/>
      <c r="H69" s="344"/>
      <c r="I69" s="222"/>
      <c r="J69" s="222"/>
      <c r="K69" s="222"/>
      <c r="L69" s="222"/>
      <c r="M69" s="222"/>
      <c r="N69" s="222"/>
      <c r="O69" s="118"/>
    </row>
    <row r="70" spans="1:15" s="154" customFormat="1" x14ac:dyDescent="0.25">
      <c r="G70" s="119"/>
      <c r="H70" s="195"/>
      <c r="I70" s="222"/>
      <c r="J70" s="222"/>
      <c r="K70" s="222"/>
      <c r="L70" s="222"/>
      <c r="M70" s="222"/>
      <c r="N70" s="222"/>
      <c r="O70" s="118"/>
    </row>
    <row r="71" spans="1:15" s="154" customFormat="1" x14ac:dyDescent="0.25">
      <c r="G71" s="119"/>
      <c r="H71" s="195"/>
      <c r="I71" s="222"/>
      <c r="J71" s="222"/>
      <c r="K71" s="222"/>
      <c r="L71" s="222"/>
      <c r="M71" s="222"/>
      <c r="N71" s="222"/>
      <c r="O71" s="118"/>
    </row>
    <row r="72" spans="1:15" s="154" customFormat="1" x14ac:dyDescent="0.25">
      <c r="G72" s="119"/>
      <c r="H72" s="195"/>
      <c r="I72" s="222"/>
      <c r="J72" s="222"/>
      <c r="K72" s="222"/>
      <c r="L72" s="222"/>
      <c r="M72" s="222"/>
      <c r="N72" s="222"/>
      <c r="O72" s="118"/>
    </row>
    <row r="73" spans="1:15" s="154" customFormat="1" x14ac:dyDescent="0.25">
      <c r="G73" s="119"/>
      <c r="H73" s="195"/>
      <c r="I73" s="222"/>
      <c r="J73" s="222"/>
      <c r="K73" s="222"/>
      <c r="L73" s="222"/>
      <c r="M73" s="222"/>
      <c r="N73" s="222"/>
      <c r="O73" s="118"/>
    </row>
    <row r="74" spans="1:15" s="154" customFormat="1" x14ac:dyDescent="0.25">
      <c r="G74" s="119"/>
      <c r="H74" s="195"/>
      <c r="I74" s="222"/>
      <c r="J74" s="222"/>
      <c r="K74" s="222"/>
      <c r="L74" s="222"/>
      <c r="M74" s="222"/>
      <c r="N74" s="222"/>
      <c r="O74" s="118"/>
    </row>
    <row r="75" spans="1:15" s="154" customFormat="1" x14ac:dyDescent="0.25">
      <c r="G75" s="119"/>
      <c r="H75" s="195"/>
      <c r="I75" s="222"/>
      <c r="J75" s="222"/>
      <c r="K75" s="222"/>
      <c r="L75" s="222"/>
      <c r="M75" s="222"/>
      <c r="N75" s="222"/>
      <c r="O75" s="118"/>
    </row>
    <row r="76" spans="1:15" s="154" customFormat="1" x14ac:dyDescent="0.25">
      <c r="G76" s="119"/>
      <c r="H76" s="195"/>
      <c r="I76" s="222"/>
      <c r="J76" s="222"/>
      <c r="K76" s="222"/>
      <c r="L76" s="222"/>
      <c r="M76" s="222"/>
      <c r="N76" s="222"/>
      <c r="O76" s="118"/>
    </row>
    <row r="77" spans="1:15" s="154" customFormat="1" x14ac:dyDescent="0.25">
      <c r="G77" s="119"/>
      <c r="H77" s="195"/>
      <c r="I77" s="222"/>
      <c r="J77" s="222"/>
      <c r="K77" s="222"/>
      <c r="L77" s="222"/>
      <c r="M77" s="222"/>
      <c r="N77" s="222"/>
      <c r="O77" s="118"/>
    </row>
    <row r="78" spans="1:15" s="154" customFormat="1" x14ac:dyDescent="0.25">
      <c r="G78" s="119"/>
      <c r="H78" s="195"/>
      <c r="I78" s="222"/>
      <c r="J78" s="222"/>
      <c r="K78" s="222"/>
      <c r="L78" s="222"/>
      <c r="M78" s="222"/>
      <c r="N78" s="222"/>
      <c r="O78" s="118"/>
    </row>
    <row r="79" spans="1:15" s="154" customFormat="1" x14ac:dyDescent="0.25">
      <c r="G79" s="119"/>
      <c r="H79" s="195"/>
      <c r="I79" s="222"/>
      <c r="J79" s="222"/>
      <c r="K79" s="222"/>
      <c r="L79" s="222"/>
      <c r="M79" s="222"/>
      <c r="N79" s="222"/>
      <c r="O79" s="118"/>
    </row>
    <row r="80" spans="1:15" s="154" customFormat="1" x14ac:dyDescent="0.25">
      <c r="A80" s="116"/>
      <c r="B80" s="209"/>
      <c r="G80" s="119"/>
      <c r="H80" s="195"/>
      <c r="I80" s="222"/>
      <c r="J80" s="222"/>
      <c r="K80" s="222"/>
      <c r="L80" s="222"/>
      <c r="M80" s="222"/>
      <c r="N80" s="222"/>
      <c r="O80" s="118"/>
    </row>
    <row r="81" spans="1:19" s="154" customFormat="1" x14ac:dyDescent="0.25">
      <c r="A81" s="116"/>
      <c r="B81" s="209"/>
      <c r="G81" s="119"/>
      <c r="H81" s="195"/>
      <c r="I81" s="222"/>
      <c r="J81" s="222"/>
      <c r="K81" s="222"/>
      <c r="L81" s="222"/>
      <c r="M81" s="222"/>
      <c r="N81" s="222"/>
      <c r="O81" s="118"/>
    </row>
    <row r="82" spans="1:19" s="154" customFormat="1" x14ac:dyDescent="0.25">
      <c r="A82" s="116"/>
      <c r="B82" s="209"/>
      <c r="G82" s="119"/>
      <c r="H82" s="195"/>
      <c r="I82" s="222"/>
      <c r="J82" s="222"/>
      <c r="K82" s="222"/>
      <c r="L82" s="222"/>
      <c r="M82" s="222"/>
      <c r="N82" s="222"/>
      <c r="O82" s="118"/>
    </row>
    <row r="83" spans="1:19" s="154" customFormat="1" x14ac:dyDescent="0.25">
      <c r="A83" s="116"/>
      <c r="B83" s="209"/>
      <c r="G83" s="119"/>
      <c r="H83" s="195"/>
      <c r="I83" s="222"/>
      <c r="J83" s="222"/>
      <c r="K83" s="222"/>
      <c r="L83" s="222"/>
      <c r="M83" s="222"/>
      <c r="N83" s="222"/>
      <c r="O83" s="118"/>
    </row>
    <row r="84" spans="1:19" s="154" customFormat="1" x14ac:dyDescent="0.25">
      <c r="A84" s="116"/>
      <c r="B84" s="209"/>
      <c r="G84" s="119"/>
      <c r="H84" s="195"/>
      <c r="I84" s="222"/>
      <c r="J84" s="222"/>
      <c r="K84" s="222"/>
      <c r="L84" s="222"/>
      <c r="M84" s="222"/>
      <c r="N84" s="222"/>
      <c r="O84" s="118"/>
    </row>
    <row r="85" spans="1:19" s="154" customFormat="1" x14ac:dyDescent="0.25">
      <c r="A85" s="116"/>
      <c r="B85" s="209"/>
      <c r="G85" s="119"/>
      <c r="H85" s="195"/>
      <c r="I85" s="222"/>
      <c r="J85" s="222"/>
      <c r="K85" s="222"/>
      <c r="L85" s="222"/>
      <c r="M85" s="222"/>
      <c r="N85" s="222"/>
      <c r="O85" s="118"/>
    </row>
    <row r="86" spans="1:19" s="154" customFormat="1" x14ac:dyDescent="0.25">
      <c r="A86" s="116"/>
      <c r="B86" s="209"/>
      <c r="G86" s="119"/>
      <c r="H86" s="195"/>
      <c r="I86" s="222"/>
      <c r="J86" s="222"/>
      <c r="K86" s="222"/>
      <c r="L86" s="222"/>
      <c r="M86" s="222"/>
      <c r="N86" s="222"/>
      <c r="O86" s="118"/>
    </row>
    <row r="87" spans="1:19" s="154" customFormat="1" x14ac:dyDescent="0.25">
      <c r="A87" s="116"/>
      <c r="B87" s="209"/>
      <c r="G87" s="119"/>
      <c r="H87" s="195"/>
      <c r="I87" s="222"/>
      <c r="J87" s="222"/>
      <c r="K87" s="222"/>
      <c r="L87" s="222"/>
      <c r="M87" s="222"/>
      <c r="N87" s="222"/>
      <c r="O87" s="118"/>
    </row>
    <row r="88" spans="1:19" s="154" customFormat="1" x14ac:dyDescent="0.25">
      <c r="A88" s="116"/>
      <c r="B88" s="209"/>
      <c r="G88" s="119"/>
      <c r="H88" s="195"/>
      <c r="I88" s="222"/>
      <c r="J88" s="222"/>
      <c r="K88" s="222"/>
      <c r="L88" s="222"/>
      <c r="M88" s="222"/>
      <c r="N88" s="222"/>
      <c r="O88" s="118"/>
    </row>
    <row r="89" spans="1:19" s="154" customFormat="1" x14ac:dyDescent="0.25">
      <c r="A89" s="116"/>
      <c r="B89" s="209"/>
      <c r="G89" s="119"/>
      <c r="H89" s="195"/>
      <c r="I89" s="222"/>
      <c r="J89" s="222"/>
      <c r="K89" s="222"/>
      <c r="L89" s="222"/>
      <c r="M89" s="222"/>
      <c r="N89" s="222"/>
      <c r="O89" s="118"/>
    </row>
    <row r="90" spans="1:19" s="154" customFormat="1" x14ac:dyDescent="0.25">
      <c r="A90" s="116"/>
      <c r="B90" s="209"/>
      <c r="G90" s="119"/>
      <c r="H90" s="195"/>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260</v>
      </c>
    </row>
    <row r="95" spans="1:19" x14ac:dyDescent="0.25">
      <c r="A95" s="116"/>
      <c r="B95" s="209"/>
      <c r="C95" s="154"/>
      <c r="G95" s="211"/>
      <c r="H95" s="149" t="s">
        <v>261</v>
      </c>
    </row>
    <row r="96" spans="1:19" x14ac:dyDescent="0.25">
      <c r="A96" s="116"/>
      <c r="B96" s="209"/>
      <c r="C96" s="154"/>
      <c r="G96" s="149" t="s">
        <v>259</v>
      </c>
      <c r="H96" s="81">
        <f t="shared" ref="H96:S96" si="18">H48/ABS(H33+0.000001)</f>
        <v>5000</v>
      </c>
      <c r="I96" s="81">
        <f t="shared" si="18"/>
        <v>5000</v>
      </c>
      <c r="J96" s="81">
        <f t="shared" si="18"/>
        <v>5000</v>
      </c>
      <c r="K96" s="81">
        <f t="shared" si="18"/>
        <v>5000</v>
      </c>
      <c r="L96" s="81">
        <f t="shared" si="18"/>
        <v>0</v>
      </c>
      <c r="M96" s="81">
        <f t="shared" si="18"/>
        <v>0</v>
      </c>
      <c r="N96" s="81">
        <f t="shared" si="18"/>
        <v>0</v>
      </c>
      <c r="O96" s="81">
        <f t="shared" si="18"/>
        <v>0</v>
      </c>
      <c r="P96" s="81">
        <f t="shared" si="18"/>
        <v>0</v>
      </c>
      <c r="Q96" s="81">
        <f t="shared" si="18"/>
        <v>0</v>
      </c>
      <c r="R96" s="81">
        <f t="shared" si="18"/>
        <v>0</v>
      </c>
      <c r="S96" s="81">
        <f t="shared" si="18"/>
        <v>0</v>
      </c>
    </row>
    <row r="97" spans="1:19" x14ac:dyDescent="0.25">
      <c r="A97" s="116"/>
      <c r="B97" s="209"/>
      <c r="C97" s="154"/>
      <c r="G97" s="149" t="s">
        <v>259</v>
      </c>
      <c r="H97" s="81">
        <f t="shared" ref="H97:S97" si="19">H49/ABS(H32+0.000001)</f>
        <v>9.8425194912889872E-5</v>
      </c>
      <c r="I97" s="81">
        <f t="shared" si="19"/>
        <v>9.8425194912889872E-5</v>
      </c>
      <c r="J97" s="81">
        <f t="shared" si="19"/>
        <v>9.8425198787897622E-5</v>
      </c>
      <c r="K97" s="81">
        <f t="shared" si="19"/>
        <v>9.8425194912889872E-5</v>
      </c>
      <c r="L97" s="81">
        <f t="shared" si="19"/>
        <v>0</v>
      </c>
      <c r="M97" s="81">
        <f t="shared" si="19"/>
        <v>0</v>
      </c>
      <c r="N97" s="81">
        <f t="shared" si="19"/>
        <v>0</v>
      </c>
      <c r="O97" s="81">
        <f t="shared" si="19"/>
        <v>0</v>
      </c>
      <c r="P97" s="81">
        <f t="shared" si="19"/>
        <v>0</v>
      </c>
      <c r="Q97" s="81">
        <f t="shared" si="19"/>
        <v>0</v>
      </c>
      <c r="R97" s="81">
        <f t="shared" si="19"/>
        <v>0</v>
      </c>
      <c r="S97" s="81">
        <f t="shared" si="19"/>
        <v>0</v>
      </c>
    </row>
    <row r="98" spans="1:19" x14ac:dyDescent="0.25">
      <c r="A98" s="116"/>
      <c r="B98" s="209"/>
      <c r="C98" s="154"/>
      <c r="G98" s="81" t="s">
        <v>257</v>
      </c>
      <c r="H98" s="224">
        <f>IF(MIN(H96,H97)&gt;1,0,MIN(H96,H97))</f>
        <v>9.8425194912889872E-5</v>
      </c>
      <c r="I98" s="224">
        <f t="shared" ref="I98:S98" si="20">IF(MIN(I96,I97)&gt;1,0,MIN(I96,I97))</f>
        <v>9.8425194912889872E-5</v>
      </c>
      <c r="J98" s="224">
        <f t="shared" si="20"/>
        <v>9.8425198787897622E-5</v>
      </c>
      <c r="K98" s="224">
        <f t="shared" si="20"/>
        <v>9.8425194912889872E-5</v>
      </c>
      <c r="L98" s="224">
        <f t="shared" si="20"/>
        <v>0</v>
      </c>
      <c r="M98" s="224">
        <f t="shared" si="20"/>
        <v>0</v>
      </c>
      <c r="N98" s="224">
        <f t="shared" si="20"/>
        <v>0</v>
      </c>
      <c r="O98" s="224">
        <f t="shared" si="20"/>
        <v>0</v>
      </c>
      <c r="P98" s="224">
        <f t="shared" si="20"/>
        <v>0</v>
      </c>
      <c r="Q98" s="224">
        <f t="shared" si="20"/>
        <v>0</v>
      </c>
      <c r="R98" s="224">
        <f t="shared" si="20"/>
        <v>0</v>
      </c>
      <c r="S98" s="224">
        <f t="shared" si="20"/>
        <v>0</v>
      </c>
    </row>
    <row r="99" spans="1:19" x14ac:dyDescent="0.25">
      <c r="A99" s="116"/>
      <c r="B99" s="209"/>
      <c r="C99" s="154"/>
      <c r="H99" s="149" t="s">
        <v>262</v>
      </c>
      <c r="I99" s="149"/>
      <c r="J99" s="149"/>
      <c r="K99" s="149"/>
      <c r="L99" s="149"/>
      <c r="M99" s="149"/>
      <c r="N99" s="149"/>
      <c r="O99" s="149"/>
      <c r="P99" s="149"/>
      <c r="Q99" s="149"/>
      <c r="R99" s="149"/>
      <c r="S99" s="149"/>
    </row>
    <row r="100" spans="1:19" x14ac:dyDescent="0.25">
      <c r="A100" s="116"/>
      <c r="B100" s="209"/>
      <c r="C100" s="154"/>
      <c r="G100" s="115" t="s">
        <v>259</v>
      </c>
      <c r="H100" s="154">
        <f t="shared" ref="H100:S100" si="21">H49/ABS(H31+0.000001)</f>
        <v>5000</v>
      </c>
      <c r="I100" s="154">
        <f t="shared" si="21"/>
        <v>9.8425194912889872E-5</v>
      </c>
      <c r="J100" s="154">
        <f t="shared" si="21"/>
        <v>9.8425194912889872E-5</v>
      </c>
      <c r="K100" s="154">
        <f t="shared" si="21"/>
        <v>5000</v>
      </c>
      <c r="L100" s="154">
        <f t="shared" si="21"/>
        <v>0</v>
      </c>
      <c r="M100" s="154">
        <f t="shared" si="21"/>
        <v>0</v>
      </c>
      <c r="N100" s="154">
        <f t="shared" si="21"/>
        <v>0</v>
      </c>
      <c r="O100" s="154">
        <f t="shared" si="21"/>
        <v>0</v>
      </c>
      <c r="P100" s="154">
        <f t="shared" si="21"/>
        <v>0</v>
      </c>
      <c r="Q100" s="154">
        <f t="shared" si="21"/>
        <v>0</v>
      </c>
      <c r="R100" s="154">
        <f t="shared" si="21"/>
        <v>0</v>
      </c>
      <c r="S100" s="154">
        <f t="shared" si="21"/>
        <v>0</v>
      </c>
    </row>
    <row r="101" spans="1:19" x14ac:dyDescent="0.25">
      <c r="A101" s="116"/>
      <c r="B101" s="209"/>
      <c r="C101" s="154"/>
      <c r="G101" s="115" t="s">
        <v>259</v>
      </c>
      <c r="H101" s="225">
        <f t="shared" ref="H101:S101" si="22">H47/ABS(H33+0.000001)</f>
        <v>5000</v>
      </c>
      <c r="I101" s="225">
        <f t="shared" si="22"/>
        <v>5000</v>
      </c>
      <c r="J101" s="225">
        <f t="shared" si="22"/>
        <v>5000</v>
      </c>
      <c r="K101" s="225">
        <f t="shared" si="22"/>
        <v>5000</v>
      </c>
      <c r="L101" s="225">
        <f t="shared" si="22"/>
        <v>0</v>
      </c>
      <c r="M101" s="225">
        <f t="shared" si="22"/>
        <v>0</v>
      </c>
      <c r="N101" s="225">
        <f t="shared" si="22"/>
        <v>0</v>
      </c>
      <c r="O101" s="225">
        <f t="shared" si="22"/>
        <v>0</v>
      </c>
      <c r="P101" s="225">
        <f t="shared" si="22"/>
        <v>0</v>
      </c>
      <c r="Q101" s="225">
        <f t="shared" si="22"/>
        <v>0</v>
      </c>
      <c r="R101" s="225">
        <f t="shared" si="22"/>
        <v>0</v>
      </c>
      <c r="S101" s="225">
        <f t="shared" si="22"/>
        <v>0</v>
      </c>
    </row>
    <row r="102" spans="1:19" x14ac:dyDescent="0.25">
      <c r="A102" s="116"/>
      <c r="B102" s="209"/>
      <c r="C102" s="154"/>
      <c r="G102" s="81" t="s">
        <v>257</v>
      </c>
      <c r="H102" s="224">
        <f>IF(MIN(H100,H101)&gt;1,0,MIN(H100,H101))</f>
        <v>0</v>
      </c>
      <c r="I102" s="224">
        <f t="shared" ref="I102:S102" si="23">IF(MIN(I100,I101)&gt;1,0,MIN(I100,I101))</f>
        <v>9.8425194912889872E-5</v>
      </c>
      <c r="J102" s="224">
        <f t="shared" si="23"/>
        <v>9.8425194912889872E-5</v>
      </c>
      <c r="K102" s="224">
        <f t="shared" si="23"/>
        <v>0</v>
      </c>
      <c r="L102" s="224">
        <f t="shared" si="23"/>
        <v>0</v>
      </c>
      <c r="M102" s="224">
        <f t="shared" si="23"/>
        <v>0</v>
      </c>
      <c r="N102" s="224">
        <f t="shared" si="23"/>
        <v>0</v>
      </c>
      <c r="O102" s="224">
        <f t="shared" si="23"/>
        <v>0</v>
      </c>
      <c r="P102" s="224">
        <f t="shared" si="23"/>
        <v>0</v>
      </c>
      <c r="Q102" s="224">
        <f t="shared" si="23"/>
        <v>0</v>
      </c>
      <c r="R102" s="224">
        <f t="shared" si="23"/>
        <v>0</v>
      </c>
      <c r="S102" s="224">
        <f t="shared" si="23"/>
        <v>0</v>
      </c>
    </row>
    <row r="103" spans="1:19" x14ac:dyDescent="0.25">
      <c r="A103" s="116"/>
      <c r="B103" s="209"/>
      <c r="C103" s="154"/>
      <c r="H103" s="81" t="s">
        <v>263</v>
      </c>
    </row>
    <row r="104" spans="1:19" x14ac:dyDescent="0.25">
      <c r="A104" s="116"/>
      <c r="B104" s="209"/>
      <c r="C104" s="154"/>
      <c r="G104" s="149" t="s">
        <v>259</v>
      </c>
      <c r="H104" s="81">
        <f t="shared" ref="H104:S104" si="24">H48/ABS(H31+0.000001)</f>
        <v>5000</v>
      </c>
      <c r="I104" s="81">
        <f t="shared" si="24"/>
        <v>9.8425194912889872E-5</v>
      </c>
      <c r="J104" s="81">
        <f t="shared" si="24"/>
        <v>9.8425194912889872E-5</v>
      </c>
      <c r="K104" s="81">
        <f t="shared" si="24"/>
        <v>5000</v>
      </c>
      <c r="L104" s="81">
        <f t="shared" si="24"/>
        <v>0</v>
      </c>
      <c r="M104" s="81">
        <f t="shared" si="24"/>
        <v>0</v>
      </c>
      <c r="N104" s="81">
        <f t="shared" si="24"/>
        <v>0</v>
      </c>
      <c r="O104" s="81">
        <f t="shared" si="24"/>
        <v>0</v>
      </c>
      <c r="P104" s="81">
        <f t="shared" si="24"/>
        <v>0</v>
      </c>
      <c r="Q104" s="81">
        <f t="shared" si="24"/>
        <v>0</v>
      </c>
      <c r="R104" s="81">
        <f t="shared" si="24"/>
        <v>0</v>
      </c>
      <c r="S104" s="81">
        <f t="shared" si="24"/>
        <v>0</v>
      </c>
    </row>
    <row r="105" spans="1:19" x14ac:dyDescent="0.25">
      <c r="A105" s="116"/>
      <c r="B105" s="209"/>
      <c r="C105" s="154"/>
      <c r="G105" s="149" t="s">
        <v>259</v>
      </c>
      <c r="H105" s="81">
        <f t="shared" ref="H105:S105" si="25">H47/ABS(H32+0.000001)</f>
        <v>9.8425194912889872E-5</v>
      </c>
      <c r="I105" s="81">
        <f t="shared" si="25"/>
        <v>9.8425194912889872E-5</v>
      </c>
      <c r="J105" s="81">
        <f t="shared" si="25"/>
        <v>9.8425198787897622E-5</v>
      </c>
      <c r="K105" s="81">
        <f t="shared" si="25"/>
        <v>9.8425194912889872E-5</v>
      </c>
      <c r="L105" s="81">
        <f t="shared" si="25"/>
        <v>0</v>
      </c>
      <c r="M105" s="81">
        <f t="shared" si="25"/>
        <v>0</v>
      </c>
      <c r="N105" s="81">
        <f t="shared" si="25"/>
        <v>0</v>
      </c>
      <c r="O105" s="81">
        <f t="shared" si="25"/>
        <v>0</v>
      </c>
      <c r="P105" s="81">
        <f t="shared" si="25"/>
        <v>0</v>
      </c>
      <c r="Q105" s="81">
        <f t="shared" si="25"/>
        <v>0</v>
      </c>
      <c r="R105" s="81">
        <f t="shared" si="25"/>
        <v>0</v>
      </c>
      <c r="S105" s="81">
        <f t="shared" si="25"/>
        <v>0</v>
      </c>
    </row>
    <row r="106" spans="1:19" x14ac:dyDescent="0.25">
      <c r="A106" s="116"/>
      <c r="B106" s="209"/>
      <c r="C106" s="154"/>
      <c r="G106" s="81" t="s">
        <v>257</v>
      </c>
      <c r="H106" s="224">
        <f>IF(MIN(H104,H105)&gt;1,0,MIN(H104,H105))</f>
        <v>9.8425194912889872E-5</v>
      </c>
      <c r="I106" s="224">
        <f t="shared" ref="I106:S106" si="26">IF(MIN(I104,I105)&gt;1,0,MIN(I104,I105))</f>
        <v>9.8425194912889872E-5</v>
      </c>
      <c r="J106" s="224">
        <f t="shared" si="26"/>
        <v>9.8425194912889872E-5</v>
      </c>
      <c r="K106" s="224">
        <f t="shared" si="26"/>
        <v>9.8425194912889872E-5</v>
      </c>
      <c r="L106" s="224">
        <f t="shared" si="26"/>
        <v>0</v>
      </c>
      <c r="M106" s="224">
        <f t="shared" si="26"/>
        <v>0</v>
      </c>
      <c r="N106" s="224">
        <f t="shared" si="26"/>
        <v>0</v>
      </c>
      <c r="O106" s="224">
        <f t="shared" si="26"/>
        <v>0</v>
      </c>
      <c r="P106" s="224">
        <f t="shared" si="26"/>
        <v>0</v>
      </c>
      <c r="Q106" s="224">
        <f t="shared" si="26"/>
        <v>0</v>
      </c>
      <c r="R106" s="224">
        <f t="shared" si="26"/>
        <v>0</v>
      </c>
      <c r="S106" s="224">
        <f t="shared" si="26"/>
        <v>0</v>
      </c>
    </row>
    <row r="107" spans="1:19" x14ac:dyDescent="0.25">
      <c r="A107" s="116"/>
      <c r="B107" s="209"/>
      <c r="C107" s="154"/>
    </row>
    <row r="108" spans="1:19" x14ac:dyDescent="0.25">
      <c r="A108" s="116"/>
      <c r="B108" s="209"/>
      <c r="C108" s="154"/>
      <c r="G108" s="223" t="s">
        <v>308</v>
      </c>
      <c r="H108" s="223"/>
      <c r="I108" s="223"/>
      <c r="J108" s="223"/>
      <c r="K108" s="223"/>
      <c r="L108" s="223"/>
      <c r="M108" s="223"/>
      <c r="N108" s="223"/>
      <c r="O108" s="223"/>
      <c r="P108" s="223"/>
    </row>
    <row r="109" spans="1:19" x14ac:dyDescent="0.25">
      <c r="A109" s="116"/>
      <c r="B109" s="209"/>
      <c r="C109" s="154"/>
      <c r="H109" s="102" t="s">
        <v>254</v>
      </c>
      <c r="I109" s="102"/>
      <c r="J109" s="102"/>
      <c r="K109" s="102"/>
      <c r="L109" s="102"/>
      <c r="M109" s="102"/>
      <c r="N109" s="102"/>
      <c r="O109" s="102"/>
      <c r="P109" s="102"/>
      <c r="Q109" s="102"/>
      <c r="R109" s="102"/>
      <c r="S109" s="102"/>
    </row>
    <row r="110" spans="1:19" x14ac:dyDescent="0.25">
      <c r="G110" s="149" t="s">
        <v>259</v>
      </c>
      <c r="H110" s="224">
        <f t="shared" ref="H110:S110" si="27">H56/(H33+0.000001)</f>
        <v>0</v>
      </c>
      <c r="I110" s="224">
        <f t="shared" si="27"/>
        <v>0</v>
      </c>
      <c r="J110" s="224">
        <f t="shared" si="27"/>
        <v>0</v>
      </c>
      <c r="K110" s="224">
        <f t="shared" si="27"/>
        <v>0</v>
      </c>
      <c r="L110" s="224">
        <f t="shared" si="27"/>
        <v>0</v>
      </c>
      <c r="M110" s="224">
        <f t="shared" si="27"/>
        <v>0</v>
      </c>
      <c r="N110" s="224">
        <f t="shared" si="27"/>
        <v>0</v>
      </c>
      <c r="O110" s="224">
        <f t="shared" si="27"/>
        <v>0</v>
      </c>
      <c r="P110" s="224">
        <f t="shared" si="27"/>
        <v>0</v>
      </c>
      <c r="Q110" s="224">
        <f t="shared" si="27"/>
        <v>0</v>
      </c>
      <c r="R110" s="224">
        <f t="shared" si="27"/>
        <v>0</v>
      </c>
      <c r="S110" s="224">
        <f t="shared" si="27"/>
        <v>0</v>
      </c>
    </row>
    <row r="111" spans="1:19" x14ac:dyDescent="0.25">
      <c r="G111" s="149" t="s">
        <v>259</v>
      </c>
      <c r="H111" s="226">
        <f t="shared" ref="H111:S111" si="28">H57/(H32+0.000001)</f>
        <v>0</v>
      </c>
      <c r="I111" s="226">
        <f t="shared" si="28"/>
        <v>0</v>
      </c>
      <c r="J111" s="226">
        <f t="shared" si="28"/>
        <v>0</v>
      </c>
      <c r="K111" s="226">
        <f t="shared" si="28"/>
        <v>0</v>
      </c>
      <c r="L111" s="226">
        <f t="shared" si="28"/>
        <v>0</v>
      </c>
      <c r="M111" s="226">
        <f t="shared" si="28"/>
        <v>0</v>
      </c>
      <c r="N111" s="226">
        <f t="shared" si="28"/>
        <v>0</v>
      </c>
      <c r="O111" s="226">
        <f t="shared" si="28"/>
        <v>0</v>
      </c>
      <c r="P111" s="226">
        <f t="shared" si="28"/>
        <v>0</v>
      </c>
      <c r="Q111" s="226">
        <f t="shared" si="28"/>
        <v>0</v>
      </c>
      <c r="R111" s="226">
        <f t="shared" si="28"/>
        <v>0</v>
      </c>
      <c r="S111" s="226">
        <f t="shared" si="28"/>
        <v>0</v>
      </c>
    </row>
    <row r="112" spans="1:19" x14ac:dyDescent="0.25">
      <c r="G112" s="81" t="s">
        <v>258</v>
      </c>
      <c r="H112" s="144">
        <f>SIGN(H110+0.000000000001)*SIGN(H111+0.000000000001)</f>
        <v>1</v>
      </c>
      <c r="I112" s="144">
        <f t="shared" ref="I112:S112" si="29">SIGN(I110+0.000000000001)*SIGN(I111+0.000000000001)</f>
        <v>1</v>
      </c>
      <c r="J112" s="144">
        <f t="shared" si="29"/>
        <v>1</v>
      </c>
      <c r="K112" s="144">
        <f t="shared" si="29"/>
        <v>1</v>
      </c>
      <c r="L112" s="144">
        <f t="shared" si="29"/>
        <v>1</v>
      </c>
      <c r="M112" s="144">
        <f t="shared" si="29"/>
        <v>1</v>
      </c>
      <c r="N112" s="144">
        <f t="shared" si="29"/>
        <v>1</v>
      </c>
      <c r="O112" s="144">
        <f t="shared" si="29"/>
        <v>1</v>
      </c>
      <c r="P112" s="144">
        <f t="shared" si="29"/>
        <v>1</v>
      </c>
      <c r="Q112" s="144">
        <f t="shared" si="29"/>
        <v>1</v>
      </c>
      <c r="R112" s="144">
        <f t="shared" si="29"/>
        <v>1</v>
      </c>
      <c r="S112" s="144">
        <f t="shared" si="29"/>
        <v>1</v>
      </c>
    </row>
    <row r="113" spans="7:19" x14ac:dyDescent="0.25">
      <c r="G113" s="81" t="s">
        <v>257</v>
      </c>
      <c r="H113" s="224">
        <f>IF(H112*MIN(ABS(H110),ABS(H111))&gt;1,0,H112*MIN(ABS(H110),ABS(H111)))</f>
        <v>0</v>
      </c>
      <c r="I113" s="224">
        <f t="shared" ref="I113:S113" si="30">IF(I112*MIN(ABS(I110),ABS(I111))&gt;1,0,I112*MIN(ABS(I110),ABS(I111)))</f>
        <v>0</v>
      </c>
      <c r="J113" s="224">
        <f t="shared" si="30"/>
        <v>0</v>
      </c>
      <c r="K113" s="224">
        <f t="shared" si="30"/>
        <v>0</v>
      </c>
      <c r="L113" s="224">
        <f t="shared" si="30"/>
        <v>0</v>
      </c>
      <c r="M113" s="224">
        <f t="shared" si="30"/>
        <v>0</v>
      </c>
      <c r="N113" s="224">
        <f t="shared" si="30"/>
        <v>0</v>
      </c>
      <c r="O113" s="224">
        <f t="shared" si="30"/>
        <v>0</v>
      </c>
      <c r="P113" s="224">
        <f t="shared" si="30"/>
        <v>0</v>
      </c>
      <c r="Q113" s="224">
        <f t="shared" si="30"/>
        <v>0</v>
      </c>
      <c r="R113" s="224">
        <f t="shared" si="30"/>
        <v>0</v>
      </c>
      <c r="S113" s="224">
        <f t="shared" si="30"/>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1">-H57/(H31+0.000001)</f>
        <v>0</v>
      </c>
      <c r="I115" s="154">
        <f t="shared" si="31"/>
        <v>0</v>
      </c>
      <c r="J115" s="154">
        <f t="shared" si="31"/>
        <v>0</v>
      </c>
      <c r="K115" s="154">
        <f t="shared" si="31"/>
        <v>0</v>
      </c>
      <c r="L115" s="154">
        <f t="shared" si="31"/>
        <v>0</v>
      </c>
      <c r="M115" s="154">
        <f t="shared" si="31"/>
        <v>0</v>
      </c>
      <c r="N115" s="154">
        <f t="shared" si="31"/>
        <v>0</v>
      </c>
      <c r="O115" s="154">
        <f t="shared" si="31"/>
        <v>0</v>
      </c>
      <c r="P115" s="154">
        <f t="shared" si="31"/>
        <v>0</v>
      </c>
      <c r="Q115" s="154">
        <f t="shared" si="31"/>
        <v>0</v>
      </c>
      <c r="R115" s="154">
        <f t="shared" si="31"/>
        <v>0</v>
      </c>
      <c r="S115" s="154">
        <f t="shared" si="31"/>
        <v>0</v>
      </c>
    </row>
    <row r="116" spans="7:19" x14ac:dyDescent="0.25">
      <c r="G116" s="115" t="s">
        <v>259</v>
      </c>
      <c r="H116" s="154">
        <f t="shared" ref="H116:S116" si="32">H55/(H33+0.000001)</f>
        <v>0</v>
      </c>
      <c r="I116" s="154">
        <f t="shared" si="32"/>
        <v>0</v>
      </c>
      <c r="J116" s="154">
        <f t="shared" si="32"/>
        <v>0</v>
      </c>
      <c r="K116" s="154">
        <f t="shared" si="32"/>
        <v>0</v>
      </c>
      <c r="L116" s="154">
        <f t="shared" si="32"/>
        <v>0</v>
      </c>
      <c r="M116" s="154">
        <f t="shared" si="32"/>
        <v>0</v>
      </c>
      <c r="N116" s="154">
        <f t="shared" si="32"/>
        <v>0</v>
      </c>
      <c r="O116" s="154">
        <f t="shared" si="32"/>
        <v>0</v>
      </c>
      <c r="P116" s="154">
        <f t="shared" si="32"/>
        <v>0</v>
      </c>
      <c r="Q116" s="154">
        <f t="shared" si="32"/>
        <v>0</v>
      </c>
      <c r="R116" s="154">
        <f t="shared" si="32"/>
        <v>0</v>
      </c>
      <c r="S116" s="154">
        <f t="shared" si="32"/>
        <v>0</v>
      </c>
    </row>
    <row r="117" spans="7:19" x14ac:dyDescent="0.25">
      <c r="G117" s="154" t="s">
        <v>258</v>
      </c>
      <c r="H117" s="227">
        <f>SIGN(H115+0.000000000001)*SIGN(H116+0.000000000001)</f>
        <v>1</v>
      </c>
      <c r="I117" s="227">
        <f t="shared" ref="I117:S117" si="33">SIGN(I115+0.000000000001)*SIGN(I116+0.000000000001)</f>
        <v>1</v>
      </c>
      <c r="J117" s="227">
        <f t="shared" si="33"/>
        <v>1</v>
      </c>
      <c r="K117" s="227">
        <f t="shared" si="33"/>
        <v>1</v>
      </c>
      <c r="L117" s="227">
        <f t="shared" si="33"/>
        <v>1</v>
      </c>
      <c r="M117" s="227">
        <f t="shared" si="33"/>
        <v>1</v>
      </c>
      <c r="N117" s="227">
        <f t="shared" si="33"/>
        <v>1</v>
      </c>
      <c r="O117" s="227">
        <f t="shared" si="33"/>
        <v>1</v>
      </c>
      <c r="P117" s="227">
        <f t="shared" si="33"/>
        <v>1</v>
      </c>
      <c r="Q117" s="227">
        <f t="shared" si="33"/>
        <v>1</v>
      </c>
      <c r="R117" s="227">
        <f t="shared" si="33"/>
        <v>1</v>
      </c>
      <c r="S117" s="227">
        <f t="shared" si="33"/>
        <v>1</v>
      </c>
    </row>
    <row r="118" spans="7:19" x14ac:dyDescent="0.25">
      <c r="G118" s="154" t="s">
        <v>257</v>
      </c>
      <c r="H118" s="228">
        <f>IF(H117*MIN(ABS(H115),ABS(H116))&gt;1,0,H117*MIN(ABS(H115),ABS(H116)))</f>
        <v>0</v>
      </c>
      <c r="I118" s="228">
        <f t="shared" ref="I118:S118" si="34">IF(I117*MIN(ABS(I115),ABS(I116))&gt;1,0,I117*MIN(ABS(I115),ABS(I116)))</f>
        <v>0</v>
      </c>
      <c r="J118" s="228">
        <f t="shared" si="34"/>
        <v>0</v>
      </c>
      <c r="K118" s="228">
        <f t="shared" si="34"/>
        <v>0</v>
      </c>
      <c r="L118" s="228">
        <f t="shared" si="34"/>
        <v>0</v>
      </c>
      <c r="M118" s="228">
        <f t="shared" si="34"/>
        <v>0</v>
      </c>
      <c r="N118" s="228">
        <f t="shared" si="34"/>
        <v>0</v>
      </c>
      <c r="O118" s="228">
        <f t="shared" si="34"/>
        <v>0</v>
      </c>
      <c r="P118" s="228">
        <f t="shared" si="34"/>
        <v>0</v>
      </c>
      <c r="Q118" s="228">
        <f t="shared" si="34"/>
        <v>0</v>
      </c>
      <c r="R118" s="228">
        <f t="shared" si="34"/>
        <v>0</v>
      </c>
      <c r="S118" s="228">
        <f t="shared" si="34"/>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5">H56/(H31+0.000001)</f>
        <v>0</v>
      </c>
      <c r="I120" s="224">
        <f t="shared" si="35"/>
        <v>0</v>
      </c>
      <c r="J120" s="224">
        <f t="shared" si="35"/>
        <v>0</v>
      </c>
      <c r="K120" s="224">
        <f t="shared" si="35"/>
        <v>0</v>
      </c>
      <c r="L120" s="224">
        <f t="shared" si="35"/>
        <v>0</v>
      </c>
      <c r="M120" s="224">
        <f t="shared" si="35"/>
        <v>0</v>
      </c>
      <c r="N120" s="224">
        <f t="shared" si="35"/>
        <v>0</v>
      </c>
      <c r="O120" s="224">
        <f t="shared" si="35"/>
        <v>0</v>
      </c>
      <c r="P120" s="224">
        <f t="shared" si="35"/>
        <v>0</v>
      </c>
      <c r="Q120" s="224">
        <f t="shared" si="35"/>
        <v>0</v>
      </c>
      <c r="R120" s="224">
        <f t="shared" si="35"/>
        <v>0</v>
      </c>
      <c r="S120" s="224">
        <f t="shared" si="35"/>
        <v>0</v>
      </c>
    </row>
    <row r="121" spans="7:19" x14ac:dyDescent="0.25">
      <c r="G121" s="149" t="s">
        <v>259</v>
      </c>
      <c r="H121" s="81">
        <f t="shared" ref="H121:S121" si="36">H55/(H32+0.000001)</f>
        <v>0</v>
      </c>
      <c r="I121" s="81">
        <f t="shared" si="36"/>
        <v>0</v>
      </c>
      <c r="J121" s="81">
        <f t="shared" si="36"/>
        <v>0</v>
      </c>
      <c r="K121" s="81">
        <f t="shared" si="36"/>
        <v>0</v>
      </c>
      <c r="L121" s="81">
        <f t="shared" si="36"/>
        <v>0</v>
      </c>
      <c r="M121" s="81">
        <f t="shared" si="36"/>
        <v>0</v>
      </c>
      <c r="N121" s="81">
        <f t="shared" si="36"/>
        <v>0</v>
      </c>
      <c r="O121" s="81">
        <f t="shared" si="36"/>
        <v>0</v>
      </c>
      <c r="P121" s="81">
        <f t="shared" si="36"/>
        <v>0</v>
      </c>
      <c r="Q121" s="81">
        <f t="shared" si="36"/>
        <v>0</v>
      </c>
      <c r="R121" s="81">
        <f t="shared" si="36"/>
        <v>0</v>
      </c>
      <c r="S121" s="81">
        <f t="shared" si="36"/>
        <v>0</v>
      </c>
    </row>
    <row r="122" spans="7:19" x14ac:dyDescent="0.25">
      <c r="G122" s="81" t="s">
        <v>258</v>
      </c>
      <c r="H122" s="144">
        <f>SIGN(H120+0.000000000001)*SIGN(H121+0.000000000001)</f>
        <v>1</v>
      </c>
      <c r="I122" s="144">
        <f t="shared" ref="I122:S122" si="37">SIGN(I120+0.000000000001)*SIGN(I121+0.000000000001)</f>
        <v>1</v>
      </c>
      <c r="J122" s="144">
        <f t="shared" si="37"/>
        <v>1</v>
      </c>
      <c r="K122" s="144">
        <f t="shared" si="37"/>
        <v>1</v>
      </c>
      <c r="L122" s="144">
        <f t="shared" si="37"/>
        <v>1</v>
      </c>
      <c r="M122" s="144">
        <f t="shared" si="37"/>
        <v>1</v>
      </c>
      <c r="N122" s="144">
        <f t="shared" si="37"/>
        <v>1</v>
      </c>
      <c r="O122" s="144">
        <f t="shared" si="37"/>
        <v>1</v>
      </c>
      <c r="P122" s="144">
        <f t="shared" si="37"/>
        <v>1</v>
      </c>
      <c r="Q122" s="144">
        <f t="shared" si="37"/>
        <v>1</v>
      </c>
      <c r="R122" s="144">
        <f t="shared" si="37"/>
        <v>1</v>
      </c>
      <c r="S122" s="144">
        <f t="shared" si="37"/>
        <v>1</v>
      </c>
    </row>
    <row r="123" spans="7:19" x14ac:dyDescent="0.25">
      <c r="G123" s="81" t="s">
        <v>257</v>
      </c>
      <c r="H123" s="224">
        <f>IF(H122*MIN(ABS(H120),ABS(H121))&gt;1,0,H122*MIN(ABS(H120),ABS(H121)))</f>
        <v>0</v>
      </c>
      <c r="I123" s="224">
        <f t="shared" ref="I123:S123" si="38">IF(I122*MIN(ABS(I120),ABS(I121))&gt;1,0,I122*MIN(ABS(I120),ABS(I121)))</f>
        <v>0</v>
      </c>
      <c r="J123" s="224">
        <f t="shared" si="38"/>
        <v>0</v>
      </c>
      <c r="K123" s="224">
        <f t="shared" si="38"/>
        <v>0</v>
      </c>
      <c r="L123" s="224">
        <f t="shared" si="38"/>
        <v>0</v>
      </c>
      <c r="M123" s="224">
        <f t="shared" si="38"/>
        <v>0</v>
      </c>
      <c r="N123" s="224">
        <f t="shared" si="38"/>
        <v>0</v>
      </c>
      <c r="O123" s="224">
        <f t="shared" si="38"/>
        <v>0</v>
      </c>
      <c r="P123" s="224">
        <f t="shared" si="38"/>
        <v>0</v>
      </c>
      <c r="Q123" s="224">
        <f t="shared" si="38"/>
        <v>0</v>
      </c>
      <c r="R123" s="224">
        <f t="shared" si="38"/>
        <v>0</v>
      </c>
      <c r="S123" s="224">
        <f t="shared" si="38"/>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L17" sqref="L17"/>
    </sheetView>
  </sheetViews>
  <sheetFormatPr defaultColWidth="11" defaultRowHeight="15.75" x14ac:dyDescent="0.25"/>
  <cols>
    <col min="1" max="1" width="45.375" style="81" customWidth="1"/>
    <col min="2" max="2" width="20.5" style="81" customWidth="1"/>
    <col min="3" max="3" width="40" style="81" customWidth="1"/>
    <col min="4" max="4" width="12" style="81" customWidth="1"/>
    <col min="5" max="6" width="7.125" style="81" customWidth="1"/>
    <col min="7" max="7" width="16.375" style="81" customWidth="1"/>
    <col min="8" max="8" width="13.5" style="81" customWidth="1"/>
    <col min="9" max="9" width="12.125" style="81" bestFit="1" customWidth="1"/>
    <col min="10" max="10" width="11.125" style="81" bestFit="1" customWidth="1"/>
    <col min="11" max="11" width="12.125" style="81" bestFit="1" customWidth="1"/>
    <col min="12" max="12" width="16.125" style="81" customWidth="1"/>
    <col min="13" max="16384" width="11" style="81"/>
  </cols>
  <sheetData>
    <row r="1" spans="1:18" x14ac:dyDescent="0.25">
      <c r="A1" s="205" t="str">
        <f>'CSs and Loads'!A111</f>
        <v>CS 4</v>
      </c>
      <c r="B1" s="205" t="str">
        <f>'CSs and Loads'!A121</f>
        <v>Member 4</v>
      </c>
    </row>
    <row r="2" spans="1:18" ht="16.5" thickBot="1" x14ac:dyDescent="0.3">
      <c r="A2" s="82" t="s">
        <v>132</v>
      </c>
      <c r="E2" s="176"/>
      <c r="F2" s="176"/>
      <c r="G2" s="176"/>
      <c r="H2" s="176"/>
      <c r="I2" s="242"/>
      <c r="J2" s="176"/>
      <c r="K2" s="176"/>
      <c r="L2" s="243"/>
      <c r="M2" s="243"/>
      <c r="N2" s="207"/>
    </row>
    <row r="3" spans="1:18" x14ac:dyDescent="0.25">
      <c r="A3" s="208" t="s">
        <v>111</v>
      </c>
      <c r="D3" s="241"/>
      <c r="E3" s="345" t="s">
        <v>372</v>
      </c>
      <c r="F3" s="346"/>
      <c r="G3" s="346"/>
      <c r="H3" s="346"/>
      <c r="I3" s="346"/>
      <c r="J3" s="346"/>
      <c r="K3" s="346"/>
      <c r="L3" s="346"/>
      <c r="M3" s="347"/>
      <c r="N3" s="181"/>
      <c r="O3" s="149"/>
      <c r="R3" s="209"/>
    </row>
    <row r="4" spans="1:18" x14ac:dyDescent="0.25">
      <c r="A4" s="82" t="s">
        <v>321</v>
      </c>
      <c r="B4" s="177" t="s">
        <v>402</v>
      </c>
      <c r="C4" s="82" t="s">
        <v>369</v>
      </c>
      <c r="D4" s="169"/>
      <c r="E4" s="378" t="s">
        <v>370</v>
      </c>
      <c r="F4" s="379"/>
      <c r="G4" s="379"/>
      <c r="H4" s="379"/>
      <c r="I4" s="379"/>
      <c r="J4" s="379"/>
      <c r="K4" s="379"/>
      <c r="L4" s="379"/>
      <c r="M4" s="380"/>
      <c r="N4" s="181"/>
      <c r="O4" s="149"/>
      <c r="R4" s="209"/>
    </row>
    <row r="5" spans="1:18" x14ac:dyDescent="0.25">
      <c r="A5" s="114" t="s">
        <v>339</v>
      </c>
      <c r="B5" s="118" t="s">
        <v>413</v>
      </c>
      <c r="C5" s="102" t="s">
        <v>367</v>
      </c>
      <c r="D5" s="169">
        <v>25</v>
      </c>
      <c r="E5" s="182" t="s">
        <v>282</v>
      </c>
      <c r="F5" s="344" t="s">
        <v>285</v>
      </c>
      <c r="G5" s="388">
        <f>0.5*B12/(B16*B7)</f>
        <v>3.7259689903995191E-6</v>
      </c>
      <c r="H5" s="308">
        <v>0</v>
      </c>
      <c r="I5" s="308">
        <v>0</v>
      </c>
      <c r="J5" s="308">
        <v>0</v>
      </c>
      <c r="K5" s="308">
        <v>0</v>
      </c>
      <c r="L5" s="308">
        <v>0</v>
      </c>
      <c r="M5" s="183" t="s">
        <v>276</v>
      </c>
      <c r="N5" s="181"/>
      <c r="R5" s="209"/>
    </row>
    <row r="6" spans="1:18" x14ac:dyDescent="0.25">
      <c r="A6" s="114" t="s">
        <v>342</v>
      </c>
      <c r="B6" s="82" t="s">
        <v>406</v>
      </c>
      <c r="C6" s="102" t="s">
        <v>32</v>
      </c>
      <c r="D6" s="169">
        <f>1770*9.8</f>
        <v>17346</v>
      </c>
      <c r="E6" s="182" t="s">
        <v>283</v>
      </c>
      <c r="F6" s="344"/>
      <c r="G6" s="308">
        <v>0</v>
      </c>
      <c r="H6" s="388">
        <f>0.5*B12^3/(3*B7*B18)</f>
        <v>1.4438158714115564E-3</v>
      </c>
      <c r="I6" s="308">
        <v>0</v>
      </c>
      <c r="J6" s="308">
        <v>0</v>
      </c>
      <c r="K6" s="308">
        <v>0</v>
      </c>
      <c r="L6" s="388">
        <f>-0.5*B12^2/(2*B7*B18)</f>
        <v>-4.3314476142346695E-6</v>
      </c>
      <c r="M6" s="183" t="s">
        <v>277</v>
      </c>
      <c r="N6" s="181"/>
      <c r="R6" s="209"/>
    </row>
    <row r="7" spans="1:18" x14ac:dyDescent="0.25">
      <c r="A7" s="102" t="s">
        <v>291</v>
      </c>
      <c r="B7" s="82">
        <v>13000</v>
      </c>
      <c r="C7" s="102" t="s">
        <v>243</v>
      </c>
      <c r="D7" s="169">
        <f>647*1000</f>
        <v>647000</v>
      </c>
      <c r="E7" s="182" t="s">
        <v>284</v>
      </c>
      <c r="F7" s="344"/>
      <c r="G7" s="308">
        <v>0</v>
      </c>
      <c r="H7" s="308">
        <v>0</v>
      </c>
      <c r="I7" s="388">
        <f>0.5*B12^3/(3*B7*B17)</f>
        <v>3.609539678528891E-4</v>
      </c>
      <c r="J7" s="308">
        <v>0</v>
      </c>
      <c r="K7" s="388">
        <f>0.5*B12^2/(2*B7*B17)</f>
        <v>1.0828619035586674E-6</v>
      </c>
      <c r="L7" s="308">
        <v>0</v>
      </c>
      <c r="M7" s="183" t="s">
        <v>278</v>
      </c>
      <c r="N7" s="181"/>
      <c r="R7" s="209"/>
    </row>
    <row r="8" spans="1:18" x14ac:dyDescent="0.25">
      <c r="A8" s="102" t="s">
        <v>287</v>
      </c>
      <c r="B8" s="82">
        <v>0.38</v>
      </c>
      <c r="C8" s="102" t="s">
        <v>33</v>
      </c>
      <c r="D8" s="169">
        <v>3</v>
      </c>
      <c r="E8" s="182" t="s">
        <v>273</v>
      </c>
      <c r="F8" s="344"/>
      <c r="G8" s="308">
        <v>0</v>
      </c>
      <c r="H8" s="308">
        <v>0</v>
      </c>
      <c r="I8" s="308">
        <v>0</v>
      </c>
      <c r="J8" s="142">
        <f>1/(1/(2*H6/'CS_3 Z member 3'!B12^2)+1/(B12/(B19*B9)))</f>
        <v>1.5893688502687468E-9</v>
      </c>
      <c r="K8" s="308">
        <v>0</v>
      </c>
      <c r="L8" s="308">
        <v>0</v>
      </c>
      <c r="M8" s="183" t="s">
        <v>279</v>
      </c>
      <c r="N8" s="181"/>
      <c r="R8" s="209"/>
    </row>
    <row r="9" spans="1:18" x14ac:dyDescent="0.25">
      <c r="A9" s="102" t="s">
        <v>292</v>
      </c>
      <c r="B9" s="97">
        <f>B7/(2*(1+B8))</f>
        <v>4710.144927536232</v>
      </c>
      <c r="C9" s="102" t="s">
        <v>34</v>
      </c>
      <c r="D9" s="169">
        <v>0.01</v>
      </c>
      <c r="E9" s="182" t="s">
        <v>275</v>
      </c>
      <c r="F9" s="344"/>
      <c r="G9" s="308">
        <v>0</v>
      </c>
      <c r="H9" s="308">
        <v>0</v>
      </c>
      <c r="I9" s="388">
        <f>0.5*B12^2/(2*B7*B17)</f>
        <v>1.0828619035586674E-6</v>
      </c>
      <c r="J9" s="308">
        <v>0</v>
      </c>
      <c r="K9" s="388">
        <f>2*G5/'CS_3 Z member 3'!B12^2</f>
        <v>1.520803669550824E-11</v>
      </c>
      <c r="L9" s="308">
        <v>0</v>
      </c>
      <c r="M9" s="183" t="s">
        <v>280</v>
      </c>
      <c r="N9" s="181"/>
      <c r="R9" s="209"/>
    </row>
    <row r="10" spans="1:18" ht="16.5" thickBot="1" x14ac:dyDescent="0.3">
      <c r="A10" s="211" t="s">
        <v>343</v>
      </c>
      <c r="B10" s="82"/>
      <c r="C10" s="102" t="s">
        <v>288</v>
      </c>
      <c r="D10" s="237">
        <f>D6/(D8*D9)</f>
        <v>578200</v>
      </c>
      <c r="E10" s="184" t="s">
        <v>274</v>
      </c>
      <c r="F10" s="377"/>
      <c r="G10" s="387">
        <v>0</v>
      </c>
      <c r="H10" s="389">
        <f>(-0.5)*B12^2/(2*B7*B18)</f>
        <v>-4.3314476142346695E-6</v>
      </c>
      <c r="I10" s="387">
        <v>0</v>
      </c>
      <c r="J10" s="387">
        <v>0</v>
      </c>
      <c r="K10" s="387">
        <v>0</v>
      </c>
      <c r="L10" s="389">
        <f>0.5*B12/(B7*B18)</f>
        <v>1.7325790456938678E-8</v>
      </c>
      <c r="M10" s="187" t="s">
        <v>281</v>
      </c>
      <c r="N10" s="181"/>
      <c r="R10" s="209"/>
    </row>
    <row r="11" spans="1:18" x14ac:dyDescent="0.25">
      <c r="A11" s="149" t="s">
        <v>347</v>
      </c>
      <c r="B11" s="119"/>
      <c r="C11" s="102" t="s">
        <v>35</v>
      </c>
      <c r="D11" s="82">
        <v>25</v>
      </c>
      <c r="E11" s="163"/>
      <c r="F11" s="163"/>
      <c r="G11" s="163"/>
      <c r="H11" s="163"/>
      <c r="I11" s="163"/>
      <c r="J11" s="163"/>
      <c r="K11" s="163"/>
      <c r="L11" s="163"/>
      <c r="M11" s="163"/>
      <c r="R11" s="209"/>
    </row>
    <row r="12" spans="1:18" x14ac:dyDescent="0.25">
      <c r="A12" s="102" t="s">
        <v>234</v>
      </c>
      <c r="B12" s="119">
        <v>500</v>
      </c>
      <c r="C12" s="102" t="s">
        <v>379</v>
      </c>
      <c r="D12" s="101">
        <f>D7*D11^2/4</f>
        <v>101093750</v>
      </c>
      <c r="I12" s="82"/>
      <c r="O12" s="149"/>
      <c r="R12" s="209"/>
    </row>
    <row r="13" spans="1:18" x14ac:dyDescent="0.25">
      <c r="A13" s="102" t="s">
        <v>319</v>
      </c>
      <c r="B13" s="82">
        <f>2*25.4</f>
        <v>50.8</v>
      </c>
      <c r="C13" s="102" t="s">
        <v>289</v>
      </c>
      <c r="D13" s="101">
        <f>D7*D11^2/12</f>
        <v>33697916.666666664</v>
      </c>
      <c r="I13" s="82"/>
      <c r="O13" s="149"/>
      <c r="R13" s="209"/>
    </row>
    <row r="14" spans="1:18" x14ac:dyDescent="0.25">
      <c r="A14" s="102" t="s">
        <v>338</v>
      </c>
      <c r="B14" s="82">
        <f>4*25.4</f>
        <v>101.6</v>
      </c>
      <c r="C14" s="102" t="s">
        <v>290</v>
      </c>
      <c r="D14" s="97">
        <f>D13</f>
        <v>33697916.666666664</v>
      </c>
      <c r="I14" s="82"/>
      <c r="O14" s="149"/>
      <c r="R14" s="209"/>
    </row>
    <row r="15" spans="1:18" x14ac:dyDescent="0.25">
      <c r="A15" s="102" t="s">
        <v>271</v>
      </c>
      <c r="B15" s="82">
        <v>0</v>
      </c>
      <c r="C15" s="114" t="s">
        <v>368</v>
      </c>
      <c r="D15" s="82"/>
      <c r="I15" s="82"/>
      <c r="O15" s="149"/>
      <c r="R15" s="209"/>
    </row>
    <row r="16" spans="1:18" x14ac:dyDescent="0.25">
      <c r="A16" s="102" t="s">
        <v>272</v>
      </c>
      <c r="B16" s="304">
        <f>B13*B14</f>
        <v>5161.28</v>
      </c>
      <c r="C16" s="115" t="s">
        <v>267</v>
      </c>
      <c r="D16" s="118" t="s">
        <v>9</v>
      </c>
      <c r="I16" s="82"/>
      <c r="O16" s="149"/>
      <c r="R16" s="209"/>
    </row>
    <row r="17" spans="1:19" x14ac:dyDescent="0.25">
      <c r="A17" s="258" t="s">
        <v>405</v>
      </c>
      <c r="B17" s="304">
        <f>(B14^3*B13)/12</f>
        <v>4439801.8730666665</v>
      </c>
      <c r="C17" s="116" t="s">
        <v>269</v>
      </c>
      <c r="D17" s="82">
        <v>18</v>
      </c>
      <c r="I17" s="82"/>
      <c r="O17" s="149"/>
      <c r="R17" s="209"/>
    </row>
    <row r="18" spans="1:19" x14ac:dyDescent="0.25">
      <c r="A18" s="258" t="s">
        <v>404</v>
      </c>
      <c r="B18" s="304">
        <f>(B14*B13^3)/12</f>
        <v>1109950.4682666666</v>
      </c>
      <c r="C18" s="116" t="s">
        <v>234</v>
      </c>
      <c r="D18" s="97">
        <f>Summary!K10+Summary!M10</f>
        <v>0</v>
      </c>
      <c r="I18" s="82"/>
      <c r="O18" s="149"/>
      <c r="R18" s="209"/>
    </row>
    <row r="19" spans="1:19" x14ac:dyDescent="0.25">
      <c r="A19" s="102" t="s">
        <v>236</v>
      </c>
      <c r="B19" s="304">
        <f>B14*B13^3*((16/3)-3.36*(B13/B14)*(1-B13^4/(12*B14^4)))</f>
        <v>48776773.327978663</v>
      </c>
      <c r="C19" s="102" t="s">
        <v>54</v>
      </c>
      <c r="D19" s="117">
        <v>200000</v>
      </c>
      <c r="I19" s="82"/>
      <c r="O19" s="149"/>
      <c r="R19" s="209"/>
    </row>
    <row r="20" spans="1:19" x14ac:dyDescent="0.25">
      <c r="A20" s="102" t="s">
        <v>337</v>
      </c>
      <c r="B20" s="82"/>
      <c r="C20" s="116" t="s">
        <v>268</v>
      </c>
      <c r="D20" s="98" t="e">
        <f t="shared" ref="D20" si="0">PI()*D17^2/4*D19/D18</f>
        <v>#DIV/0!</v>
      </c>
      <c r="I20" s="82"/>
      <c r="O20" s="149"/>
      <c r="R20" s="209"/>
    </row>
    <row r="21" spans="1:19" ht="16.5" thickBot="1" x14ac:dyDescent="0.3">
      <c r="A21" s="239" t="s">
        <v>314</v>
      </c>
      <c r="B21" s="229"/>
      <c r="C21" s="239" t="s">
        <v>320</v>
      </c>
      <c r="D21" s="229">
        <v>3</v>
      </c>
      <c r="E21" s="176"/>
      <c r="F21" s="176"/>
      <c r="G21" s="176"/>
      <c r="H21" s="176"/>
      <c r="I21" s="229"/>
      <c r="J21" s="176"/>
      <c r="K21" s="176"/>
      <c r="L21" s="176"/>
      <c r="M21" s="176"/>
      <c r="O21" s="149"/>
      <c r="R21" s="209"/>
    </row>
    <row r="22" spans="1:19" ht="16.5" thickBot="1" x14ac:dyDescent="0.3">
      <c r="A22" s="374" t="s">
        <v>356</v>
      </c>
      <c r="B22" s="375"/>
      <c r="C22" s="375"/>
      <c r="D22" s="375"/>
      <c r="E22" s="375"/>
      <c r="F22" s="375"/>
      <c r="G22" s="375"/>
      <c r="H22" s="375"/>
      <c r="I22" s="375"/>
      <c r="J22" s="375"/>
      <c r="K22" s="375"/>
      <c r="L22" s="375"/>
      <c r="M22" s="376"/>
      <c r="N22" s="252"/>
      <c r="O22" s="211"/>
      <c r="P22" s="211"/>
      <c r="Q22" s="211"/>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2588000</v>
      </c>
      <c r="C25" s="218">
        <v>0</v>
      </c>
      <c r="G25" s="242" t="s">
        <v>185</v>
      </c>
      <c r="O25" s="209"/>
      <c r="P25" s="209"/>
      <c r="Q25" s="209"/>
      <c r="R25" s="209"/>
    </row>
    <row r="26" spans="1:19" x14ac:dyDescent="0.25">
      <c r="A26" s="217" t="s">
        <v>118</v>
      </c>
      <c r="B26" s="152">
        <f>SUM(H35:S35)+C26</f>
        <v>0</v>
      </c>
      <c r="C26" s="218">
        <v>0</v>
      </c>
      <c r="G26" s="82" t="s">
        <v>124</v>
      </c>
      <c r="O26" s="209"/>
      <c r="P26" s="209"/>
      <c r="Q26" s="209"/>
      <c r="R26" s="209"/>
    </row>
    <row r="27" spans="1:19" x14ac:dyDescent="0.25">
      <c r="A27" s="217" t="s">
        <v>119</v>
      </c>
      <c r="B27" s="152">
        <f>SUM(H36:S36)+C27</f>
        <v>2588000</v>
      </c>
      <c r="C27" s="218">
        <v>0</v>
      </c>
      <c r="D27" s="87"/>
      <c r="E27" s="87"/>
      <c r="F27" s="87"/>
      <c r="G27" s="212" t="s">
        <v>133</v>
      </c>
      <c r="H27" s="213">
        <v>0</v>
      </c>
      <c r="O27" s="209"/>
      <c r="P27" s="209"/>
      <c r="Q27" s="209"/>
      <c r="R27" s="209"/>
    </row>
    <row r="28" spans="1:19" x14ac:dyDescent="0.25">
      <c r="A28" s="102" t="s">
        <v>115</v>
      </c>
      <c r="B28" s="107"/>
      <c r="C28" s="198"/>
      <c r="D28" s="87"/>
      <c r="E28" s="87"/>
      <c r="F28" s="87"/>
      <c r="H28" s="365" t="s">
        <v>129</v>
      </c>
      <c r="I28" s="365"/>
      <c r="J28" s="365"/>
      <c r="K28" s="365"/>
      <c r="L28" s="365"/>
      <c r="M28" s="365"/>
      <c r="N28" s="365"/>
      <c r="O28" s="365"/>
      <c r="P28" s="365"/>
      <c r="Q28" s="365"/>
      <c r="R28" s="365"/>
      <c r="S28" s="365"/>
    </row>
    <row r="29" spans="1:19" x14ac:dyDescent="0.25">
      <c r="A29" s="217" t="s">
        <v>8</v>
      </c>
      <c r="B29" s="152">
        <f>SUM(H38:S38)+SUM(H42:S42)+C29</f>
        <v>6874375000</v>
      </c>
      <c r="C29" s="218">
        <v>0</v>
      </c>
      <c r="D29" s="87"/>
      <c r="E29" s="87"/>
      <c r="F29" s="87"/>
      <c r="G29" s="82" t="s">
        <v>114</v>
      </c>
      <c r="H29" s="86">
        <v>1</v>
      </c>
      <c r="I29" s="86">
        <f>H29+1</f>
        <v>2</v>
      </c>
      <c r="J29" s="86">
        <f t="shared" ref="J29:R29" si="1">I29+1</f>
        <v>3</v>
      </c>
      <c r="K29" s="86">
        <f t="shared" si="1"/>
        <v>4</v>
      </c>
      <c r="L29" s="86">
        <f t="shared" si="1"/>
        <v>5</v>
      </c>
      <c r="M29" s="86">
        <f t="shared" si="1"/>
        <v>6</v>
      </c>
      <c r="N29" s="86">
        <f t="shared" si="1"/>
        <v>7</v>
      </c>
      <c r="O29" s="86">
        <f t="shared" si="1"/>
        <v>8</v>
      </c>
      <c r="P29" s="86">
        <f>O29+1</f>
        <v>9</v>
      </c>
      <c r="Q29" s="86">
        <f t="shared" si="1"/>
        <v>10</v>
      </c>
      <c r="R29" s="86">
        <f t="shared" si="1"/>
        <v>11</v>
      </c>
      <c r="S29" s="86">
        <f>R29+1</f>
        <v>12</v>
      </c>
    </row>
    <row r="30" spans="1:19" x14ac:dyDescent="0.25">
      <c r="A30" s="217" t="s">
        <v>120</v>
      </c>
      <c r="B30" s="152">
        <f>SUM(H39:S39)+SUM(H43:S43)+C30</f>
        <v>6604791666.666667</v>
      </c>
      <c r="C30" s="218">
        <v>0</v>
      </c>
      <c r="D30" s="87"/>
      <c r="E30" s="87"/>
      <c r="F30" s="87"/>
      <c r="G30" s="102" t="s">
        <v>42</v>
      </c>
      <c r="H30" s="213">
        <v>0</v>
      </c>
      <c r="I30" s="213">
        <v>0</v>
      </c>
      <c r="J30" s="213">
        <v>0</v>
      </c>
      <c r="K30" s="213">
        <v>0</v>
      </c>
      <c r="L30" s="213">
        <v>0</v>
      </c>
      <c r="M30" s="213">
        <v>0</v>
      </c>
      <c r="N30" s="213">
        <v>0</v>
      </c>
      <c r="O30" s="213">
        <v>0</v>
      </c>
      <c r="P30" s="213">
        <v>0</v>
      </c>
      <c r="Q30" s="213">
        <v>0</v>
      </c>
      <c r="R30" s="213">
        <v>0</v>
      </c>
      <c r="S30" s="213">
        <v>0</v>
      </c>
    </row>
    <row r="31" spans="1:19" x14ac:dyDescent="0.25">
      <c r="A31" s="217" t="s">
        <v>116</v>
      </c>
      <c r="B31" s="152">
        <f>SUM(H40:S40)+SUM(H44:S44)+C31</f>
        <v>6604791666.666667</v>
      </c>
      <c r="C31" s="218">
        <v>0</v>
      </c>
      <c r="D31" s="87"/>
      <c r="E31" s="87"/>
      <c r="F31" s="87"/>
      <c r="G31" s="102" t="s">
        <v>43</v>
      </c>
      <c r="H31" s="213">
        <v>50</v>
      </c>
      <c r="I31" s="213">
        <v>-50</v>
      </c>
      <c r="J31" s="213">
        <v>-50</v>
      </c>
      <c r="K31" s="213">
        <v>50</v>
      </c>
      <c r="L31" s="213">
        <v>0</v>
      </c>
      <c r="M31" s="213">
        <v>0</v>
      </c>
      <c r="N31" s="213">
        <v>0</v>
      </c>
      <c r="O31" s="213">
        <v>0</v>
      </c>
      <c r="P31" s="213">
        <v>0</v>
      </c>
      <c r="Q31" s="213">
        <v>0</v>
      </c>
      <c r="R31" s="213">
        <v>0</v>
      </c>
      <c r="S31" s="213">
        <v>0</v>
      </c>
    </row>
    <row r="32" spans="1:19" x14ac:dyDescent="0.25">
      <c r="A32" s="366" t="s">
        <v>190</v>
      </c>
      <c r="B32" s="366"/>
      <c r="C32" s="366"/>
      <c r="D32" s="87"/>
      <c r="E32" s="87"/>
      <c r="F32" s="87"/>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66"/>
      <c r="B33" s="366"/>
      <c r="C33" s="366"/>
      <c r="G33" s="82" t="s">
        <v>130</v>
      </c>
      <c r="H33" s="367"/>
      <c r="I33" s="367"/>
      <c r="J33" s="367"/>
      <c r="K33" s="367"/>
    </row>
    <row r="34" spans="1:19" x14ac:dyDescent="0.25">
      <c r="A34" s="366"/>
      <c r="B34" s="366"/>
      <c r="C34" s="366"/>
      <c r="D34" s="87"/>
      <c r="E34" s="87"/>
      <c r="F34" s="87"/>
      <c r="G34" s="102" t="s">
        <v>117</v>
      </c>
      <c r="H34" s="142">
        <f>D7</f>
        <v>647000</v>
      </c>
      <c r="I34" s="142">
        <f>H34</f>
        <v>647000</v>
      </c>
      <c r="J34" s="142">
        <f t="shared" ref="J34:K34" si="2">I34</f>
        <v>647000</v>
      </c>
      <c r="K34" s="142">
        <f t="shared" si="2"/>
        <v>647000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142">
        <v>0</v>
      </c>
      <c r="I35" s="142">
        <f>H35</f>
        <v>0</v>
      </c>
      <c r="J35" s="142">
        <f t="shared" ref="J35:K36" si="3">I35</f>
        <v>0</v>
      </c>
      <c r="K35" s="142">
        <f t="shared" si="3"/>
        <v>0</v>
      </c>
      <c r="L35" s="213">
        <v>0</v>
      </c>
      <c r="M35" s="213">
        <v>0</v>
      </c>
      <c r="N35" s="213">
        <v>0</v>
      </c>
      <c r="O35" s="213">
        <v>0</v>
      </c>
      <c r="P35" s="213">
        <v>0</v>
      </c>
      <c r="Q35" s="213">
        <v>0</v>
      </c>
      <c r="R35" s="213">
        <v>0</v>
      </c>
      <c r="S35" s="213">
        <v>0</v>
      </c>
    </row>
    <row r="36" spans="1:19" x14ac:dyDescent="0.25">
      <c r="A36" s="81" t="s">
        <v>109</v>
      </c>
      <c r="D36" s="87"/>
      <c r="E36" s="87"/>
      <c r="F36" s="87"/>
      <c r="G36" s="102" t="s">
        <v>119</v>
      </c>
      <c r="H36" s="142">
        <f>D7</f>
        <v>647000</v>
      </c>
      <c r="I36" s="142">
        <f>H36</f>
        <v>647000</v>
      </c>
      <c r="J36" s="142">
        <f t="shared" si="3"/>
        <v>647000</v>
      </c>
      <c r="K36" s="142">
        <f t="shared" si="3"/>
        <v>647000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67"/>
      <c r="I37" s="367"/>
      <c r="J37" s="367"/>
      <c r="K37" s="367"/>
    </row>
    <row r="38" spans="1:19" x14ac:dyDescent="0.25">
      <c r="A38" s="102" t="s">
        <v>188</v>
      </c>
      <c r="B38" s="213">
        <v>0</v>
      </c>
      <c r="D38" s="87"/>
      <c r="E38" s="87"/>
      <c r="F38" s="87"/>
      <c r="G38" s="102" t="s">
        <v>8</v>
      </c>
      <c r="H38" s="142">
        <f>'ref bearings, servo, structure'!B10</f>
        <v>101093750</v>
      </c>
      <c r="I38" s="142">
        <f>H38</f>
        <v>101093750</v>
      </c>
      <c r="J38" s="142">
        <f t="shared" ref="J38:K38" si="4">I38</f>
        <v>101093750</v>
      </c>
      <c r="K38" s="142">
        <f t="shared" si="4"/>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'ref bearings, servo, structure'!B12</f>
        <v>33697916.666666664</v>
      </c>
      <c r="I39" s="142">
        <f t="shared" ref="I39:K40" si="5">H39</f>
        <v>33697916.666666664</v>
      </c>
      <c r="J39" s="142">
        <f t="shared" si="5"/>
        <v>33697916.666666664</v>
      </c>
      <c r="K39" s="142">
        <f t="shared" si="5"/>
        <v>33697916.666666664</v>
      </c>
      <c r="L39" s="213">
        <v>0</v>
      </c>
      <c r="M39" s="213">
        <v>0</v>
      </c>
      <c r="N39" s="213">
        <v>0</v>
      </c>
      <c r="O39" s="213">
        <v>0</v>
      </c>
      <c r="P39" s="213">
        <v>0</v>
      </c>
      <c r="Q39" s="213">
        <v>0</v>
      </c>
      <c r="R39" s="213">
        <v>0</v>
      </c>
      <c r="S39" s="213">
        <v>0</v>
      </c>
    </row>
    <row r="40" spans="1:19" x14ac:dyDescent="0.25">
      <c r="A40" s="149" t="s">
        <v>110</v>
      </c>
      <c r="G40" s="102" t="s">
        <v>116</v>
      </c>
      <c r="H40" s="142">
        <f>'ref bearings, servo, structure'!B11</f>
        <v>33697916.666666664</v>
      </c>
      <c r="I40" s="142">
        <f t="shared" si="5"/>
        <v>33697916.666666664</v>
      </c>
      <c r="J40" s="142">
        <f t="shared" si="5"/>
        <v>33697916.666666664</v>
      </c>
      <c r="K40" s="142">
        <f t="shared" si="5"/>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1617500000</v>
      </c>
      <c r="I42" s="152">
        <f t="shared" ref="I42:S42" si="6">I35*I32^2+I36*I31^2</f>
        <v>1617500000</v>
      </c>
      <c r="J42" s="152">
        <f t="shared" si="6"/>
        <v>1617500000</v>
      </c>
      <c r="K42" s="152">
        <f t="shared" si="6"/>
        <v>1617500000</v>
      </c>
      <c r="L42" s="105">
        <f t="shared" si="6"/>
        <v>0</v>
      </c>
      <c r="M42" s="105">
        <f t="shared" si="6"/>
        <v>0</v>
      </c>
      <c r="N42" s="105">
        <f t="shared" si="6"/>
        <v>0</v>
      </c>
      <c r="O42" s="105">
        <f t="shared" si="6"/>
        <v>0</v>
      </c>
      <c r="P42" s="105">
        <f t="shared" si="6"/>
        <v>0</v>
      </c>
      <c r="Q42" s="105">
        <f t="shared" si="6"/>
        <v>0</v>
      </c>
      <c r="R42" s="105">
        <f t="shared" si="6"/>
        <v>0</v>
      </c>
      <c r="S42" s="105">
        <f t="shared" si="6"/>
        <v>0</v>
      </c>
    </row>
    <row r="43" spans="1:19" x14ac:dyDescent="0.25">
      <c r="A43" s="102" t="s">
        <v>189</v>
      </c>
      <c r="B43" s="213">
        <v>0</v>
      </c>
      <c r="D43" s="218"/>
      <c r="E43" s="218"/>
      <c r="F43" s="218"/>
      <c r="G43" s="102" t="s">
        <v>120</v>
      </c>
      <c r="H43" s="152">
        <f>H34*H32^2+H36*H30^2</f>
        <v>1617500000</v>
      </c>
      <c r="I43" s="152">
        <f t="shared" ref="I43:S43" si="7">I34*I32^2+I36*I30^2</f>
        <v>1617500000</v>
      </c>
      <c r="J43" s="152">
        <f t="shared" si="7"/>
        <v>1617500000</v>
      </c>
      <c r="K43" s="152">
        <f t="shared" si="7"/>
        <v>1617500000</v>
      </c>
      <c r="L43" s="105">
        <f t="shared" si="7"/>
        <v>0</v>
      </c>
      <c r="M43" s="105">
        <f t="shared" si="7"/>
        <v>0</v>
      </c>
      <c r="N43" s="105">
        <f t="shared" si="7"/>
        <v>0</v>
      </c>
      <c r="O43" s="105">
        <f t="shared" si="7"/>
        <v>0</v>
      </c>
      <c r="P43" s="105">
        <f t="shared" si="7"/>
        <v>0</v>
      </c>
      <c r="Q43" s="105">
        <f t="shared" si="7"/>
        <v>0</v>
      </c>
      <c r="R43" s="105">
        <f t="shared" si="7"/>
        <v>0</v>
      </c>
      <c r="S43" s="105">
        <f t="shared" si="7"/>
        <v>0</v>
      </c>
    </row>
    <row r="44" spans="1:19" x14ac:dyDescent="0.25">
      <c r="A44" s="214" t="s">
        <v>207</v>
      </c>
      <c r="C44" s="87"/>
      <c r="D44" s="218"/>
      <c r="E44" s="218"/>
      <c r="F44" s="218"/>
      <c r="G44" s="102" t="s">
        <v>116</v>
      </c>
      <c r="H44" s="152">
        <f>H34*H31^2+H35*H30^2</f>
        <v>1617500000</v>
      </c>
      <c r="I44" s="152">
        <f t="shared" ref="I44:S44" si="8">I34*I31^2+I35*I30^2</f>
        <v>1617500000</v>
      </c>
      <c r="J44" s="152">
        <f t="shared" si="8"/>
        <v>1617500000</v>
      </c>
      <c r="K44" s="152">
        <f t="shared" si="8"/>
        <v>1617500000</v>
      </c>
      <c r="L44" s="105">
        <f t="shared" si="8"/>
        <v>0</v>
      </c>
      <c r="M44" s="105">
        <f t="shared" si="8"/>
        <v>0</v>
      </c>
      <c r="N44" s="105">
        <f t="shared" si="8"/>
        <v>0</v>
      </c>
      <c r="O44" s="105">
        <f t="shared" si="8"/>
        <v>0</v>
      </c>
      <c r="P44" s="105">
        <f t="shared" si="8"/>
        <v>0</v>
      </c>
      <c r="Q44" s="105">
        <f t="shared" si="8"/>
        <v>0</v>
      </c>
      <c r="R44" s="105">
        <f t="shared" si="8"/>
        <v>0</v>
      </c>
      <c r="S44" s="105">
        <f t="shared" si="8"/>
        <v>0</v>
      </c>
    </row>
    <row r="45" spans="1:19" x14ac:dyDescent="0.25">
      <c r="A45" s="102" t="s">
        <v>121</v>
      </c>
      <c r="B45" s="105" t="e">
        <f>SQRT((H46^2+I46^2+J46^2+K46^2+L46^2+M46^2+N46^2+O46^2+P46^2+Q46^2+R46^2+S46^2)/H$27)</f>
        <v>#DIV/0!</v>
      </c>
      <c r="C45" s="87"/>
      <c r="D45" s="218"/>
      <c r="E45" s="218"/>
      <c r="F45" s="218"/>
      <c r="G45" s="82" t="s">
        <v>307</v>
      </c>
    </row>
    <row r="46" spans="1:19" x14ac:dyDescent="0.25">
      <c r="A46" s="102" t="s">
        <v>122</v>
      </c>
      <c r="B46" s="105" t="e">
        <f>SQRT((H47^2+I47^2+J47^2+K47^2+L47^2+M47^2+N47^2+O47^2+P47^2+Q47^2+R47^2+S47^2)/H$27)</f>
        <v>#DIV/0!</v>
      </c>
      <c r="C46" s="87"/>
      <c r="D46" s="198"/>
      <c r="E46" s="198"/>
      <c r="F46" s="198"/>
      <c r="G46" s="102" t="s">
        <v>121</v>
      </c>
      <c r="H46" s="213">
        <f t="shared" ref="H46:K48" si="9">0.005</f>
        <v>5.0000000000000001E-3</v>
      </c>
      <c r="I46" s="213">
        <f t="shared" si="9"/>
        <v>5.0000000000000001E-3</v>
      </c>
      <c r="J46" s="213">
        <f t="shared" si="9"/>
        <v>5.0000000000000001E-3</v>
      </c>
      <c r="K46" s="213">
        <f t="shared" si="9"/>
        <v>5.0000000000000001E-3</v>
      </c>
      <c r="L46" s="213">
        <v>0</v>
      </c>
      <c r="M46" s="213">
        <v>0</v>
      </c>
      <c r="N46" s="213">
        <v>0</v>
      </c>
      <c r="O46" s="213">
        <v>0</v>
      </c>
      <c r="P46" s="213">
        <v>0</v>
      </c>
      <c r="Q46" s="213">
        <v>0</v>
      </c>
      <c r="R46" s="213">
        <v>0</v>
      </c>
      <c r="S46" s="213">
        <v>0</v>
      </c>
    </row>
    <row r="47" spans="1:19" x14ac:dyDescent="0.25">
      <c r="A47" s="102" t="s">
        <v>123</v>
      </c>
      <c r="B47" s="105" t="e">
        <f>SQRT((H48^2+I48^2+J48^2+K48^2+L48^2+M48^2+N48^2+O48^2+P48^2+Q48^2+R48^2+S48^2)/H$27)</f>
        <v>#DIV/0!</v>
      </c>
      <c r="C47" s="87"/>
      <c r="D47" s="218"/>
      <c r="E47" s="218"/>
      <c r="F47" s="218"/>
      <c r="G47" s="102" t="s">
        <v>122</v>
      </c>
      <c r="H47" s="213">
        <f t="shared" si="9"/>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t="e">
        <f>SQRT((H50^2+I50^2+J50^2+K50^2+L50^2+M50^2+N50^2+O50^2+P50^2+Q50^2+R50^2+S50^2+B37^2)/H$27)</f>
        <v>#DIV/0!</v>
      </c>
      <c r="D48" s="218"/>
      <c r="E48" s="218"/>
      <c r="F48" s="218"/>
      <c r="G48" s="102" t="s">
        <v>123</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t="e">
        <f>SQRT((H51^2+I51^2+J51^2+K51^2+L51^2+M51^2+N51^2+O51^2+P51^2+Q51^2+R51^2+S51^2+B38^2)/H$27)</f>
        <v>#DIV/0!</v>
      </c>
      <c r="D49" s="218"/>
      <c r="E49" s="218"/>
      <c r="F49" s="218"/>
      <c r="G49" s="82" t="s">
        <v>252</v>
      </c>
    </row>
    <row r="50" spans="1:20" x14ac:dyDescent="0.25">
      <c r="A50" s="102" t="s">
        <v>87</v>
      </c>
      <c r="B50" s="105" t="e">
        <f>SQRT((H52^2+I52^2+J52^2+K52^2+L52^2+M52^2+N52^2+O52^2+P52^2+Q52^2+R52^2+S52^2+B39^2)/H$27)</f>
        <v>#DIV/0!</v>
      </c>
      <c r="D50" s="219"/>
      <c r="E50" s="219"/>
      <c r="F50" s="219"/>
      <c r="G50" s="102" t="s">
        <v>85</v>
      </c>
      <c r="H50" s="152">
        <f>H97</f>
        <v>9.9999998000000053E-5</v>
      </c>
      <c r="I50" s="152">
        <f t="shared" ref="I50:S50" si="10">I97</f>
        <v>9.9999998000000053E-5</v>
      </c>
      <c r="J50" s="152">
        <f t="shared" si="10"/>
        <v>1.0000000200000004E-4</v>
      </c>
      <c r="K50" s="152">
        <f t="shared" si="10"/>
        <v>9.9999998000000053E-5</v>
      </c>
      <c r="L50" s="152">
        <f t="shared" si="10"/>
        <v>0</v>
      </c>
      <c r="M50" s="152">
        <f t="shared" si="10"/>
        <v>0</v>
      </c>
      <c r="N50" s="152">
        <f t="shared" si="10"/>
        <v>0</v>
      </c>
      <c r="O50" s="152">
        <f t="shared" si="10"/>
        <v>0</v>
      </c>
      <c r="P50" s="152">
        <f t="shared" si="10"/>
        <v>0</v>
      </c>
      <c r="Q50" s="152">
        <f t="shared" si="10"/>
        <v>0</v>
      </c>
      <c r="R50" s="152">
        <f t="shared" si="10"/>
        <v>0</v>
      </c>
      <c r="S50" s="152">
        <f t="shared" si="10"/>
        <v>0</v>
      </c>
    </row>
    <row r="51" spans="1:20" ht="47.25" x14ac:dyDescent="0.25">
      <c r="A51" s="215" t="s">
        <v>208</v>
      </c>
      <c r="B51" s="107"/>
      <c r="D51" s="219"/>
      <c r="E51" s="219"/>
      <c r="F51" s="219"/>
      <c r="G51" s="102" t="s">
        <v>86</v>
      </c>
      <c r="H51" s="152">
        <f>H101</f>
        <v>9.9999998000000053E-5</v>
      </c>
      <c r="I51" s="152">
        <f t="shared" ref="I51:S51" si="11">I101</f>
        <v>9.9999998000000053E-5</v>
      </c>
      <c r="J51" s="152">
        <f t="shared" si="11"/>
        <v>1.0000000200000004E-4</v>
      </c>
      <c r="K51" s="152">
        <f t="shared" si="11"/>
        <v>1.0000000200000004E-4</v>
      </c>
      <c r="L51" s="152">
        <f t="shared" si="11"/>
        <v>0</v>
      </c>
      <c r="M51" s="152">
        <f t="shared" si="11"/>
        <v>0</v>
      </c>
      <c r="N51" s="152">
        <f t="shared" si="11"/>
        <v>0</v>
      </c>
      <c r="O51" s="152">
        <f t="shared" si="11"/>
        <v>0</v>
      </c>
      <c r="P51" s="152">
        <f t="shared" si="11"/>
        <v>0</v>
      </c>
      <c r="Q51" s="152">
        <f t="shared" si="11"/>
        <v>0</v>
      </c>
      <c r="R51" s="152">
        <f t="shared" si="11"/>
        <v>0</v>
      </c>
      <c r="S51" s="152">
        <f t="shared" si="11"/>
        <v>0</v>
      </c>
      <c r="T51" s="83"/>
    </row>
    <row r="52" spans="1:20" x14ac:dyDescent="0.25">
      <c r="A52" s="102" t="s">
        <v>121</v>
      </c>
      <c r="B52" s="105" t="e">
        <f>SQRT((H54^2+I54^2+J54^2+K54^2+L54^2+M54^2+N54^2+O54^2+P54^2+Q54^2+R54^2+S54^2)/H$27)</f>
        <v>#DIV/0!</v>
      </c>
      <c r="D52" s="219"/>
      <c r="E52" s="219"/>
      <c r="F52" s="219"/>
      <c r="G52" s="102" t="s">
        <v>87</v>
      </c>
      <c r="H52" s="152">
        <f>H105</f>
        <v>9.9999998000000053E-5</v>
      </c>
      <c r="I52" s="152">
        <f t="shared" ref="I52:S52" si="12">I105</f>
        <v>1.0000000200000004E-4</v>
      </c>
      <c r="J52" s="152">
        <f t="shared" si="12"/>
        <v>1.0000000200000004E-4</v>
      </c>
      <c r="K52" s="152">
        <f t="shared" si="12"/>
        <v>9.9999998000000053E-5</v>
      </c>
      <c r="L52" s="152">
        <f t="shared" si="12"/>
        <v>0</v>
      </c>
      <c r="M52" s="152">
        <f t="shared" si="12"/>
        <v>0</v>
      </c>
      <c r="N52" s="152">
        <f t="shared" si="12"/>
        <v>0</v>
      </c>
      <c r="O52" s="152">
        <f t="shared" si="12"/>
        <v>0</v>
      </c>
      <c r="P52" s="152">
        <f t="shared" si="12"/>
        <v>0</v>
      </c>
      <c r="Q52" s="152">
        <f t="shared" si="12"/>
        <v>0</v>
      </c>
      <c r="R52" s="152">
        <f t="shared" si="12"/>
        <v>0</v>
      </c>
      <c r="S52" s="152">
        <f t="shared" si="12"/>
        <v>0</v>
      </c>
    </row>
    <row r="53" spans="1:20" x14ac:dyDescent="0.25">
      <c r="A53" s="102" t="s">
        <v>122</v>
      </c>
      <c r="B53" s="105" t="e">
        <f>SQRT((H55^2+I55^2+J55^2+K55^2+L55^2+M55^2+N55^2+O55^2+P55^2+Q55^2+R55^2+S55^2)/H$27)</f>
        <v>#DIV/0!</v>
      </c>
      <c r="D53" s="213"/>
      <c r="E53" s="213"/>
      <c r="F53" s="213"/>
      <c r="G53" s="82" t="s">
        <v>333</v>
      </c>
    </row>
    <row r="54" spans="1:20" x14ac:dyDescent="0.25">
      <c r="A54" s="102" t="s">
        <v>123</v>
      </c>
      <c r="B54" s="105" t="e">
        <f>SQRT((H56^2+I56^2+J56^2+K56^2+L56^2+M56^2+N56^2+O56^2+P56^2+Q56^2+R56^2+S56^2)/H$27)</f>
        <v>#DIV/0!</v>
      </c>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t="e">
        <f>SQRT((H58^2+I58^2+J58^2+K58^2+L58^2+M58^2+N58^2+O58^2+P58^2+Q58^2+R58^2+S58^2+B41^2)/H$27)</f>
        <v>#DIV/0!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t="e">
        <f>SQRT((H59^2+I59^2+J59^2+K59^2+L59^2+M59^2+N59^2+O59^2+P59^2+Q59^2+R59^2+S59^2+B42^2)/H$27)</f>
        <v>#DIV/0!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t="e">
        <f>SQRT((H60^2+I60^2+J60^2+K60^2+L60^2+M60^2+N60^2+O60^2+P60^2+Q60^2+R60^2+S60^2+B43^2)/H$27)</f>
        <v>#DIV/0!</v>
      </c>
      <c r="G57" s="82" t="s">
        <v>253</v>
      </c>
    </row>
    <row r="58" spans="1:20" x14ac:dyDescent="0.25">
      <c r="G58" s="102" t="s">
        <v>85</v>
      </c>
      <c r="H58" s="221">
        <f>H112</f>
        <v>0</v>
      </c>
      <c r="I58" s="221">
        <f t="shared" ref="I58:S58" si="13">I112</f>
        <v>0</v>
      </c>
      <c r="J58" s="221">
        <f t="shared" si="13"/>
        <v>0</v>
      </c>
      <c r="K58" s="221">
        <f t="shared" si="13"/>
        <v>0</v>
      </c>
      <c r="L58" s="221">
        <f t="shared" si="13"/>
        <v>0</v>
      </c>
      <c r="M58" s="221">
        <f t="shared" si="13"/>
        <v>0</v>
      </c>
      <c r="N58" s="221">
        <f t="shared" si="13"/>
        <v>0</v>
      </c>
      <c r="O58" s="221">
        <f t="shared" si="13"/>
        <v>0</v>
      </c>
      <c r="P58" s="221">
        <f t="shared" si="13"/>
        <v>0</v>
      </c>
      <c r="Q58" s="221">
        <f t="shared" si="13"/>
        <v>0</v>
      </c>
      <c r="R58" s="221">
        <f t="shared" si="13"/>
        <v>0</v>
      </c>
      <c r="S58" s="221">
        <f t="shared" si="13"/>
        <v>0</v>
      </c>
    </row>
    <row r="59" spans="1:20" x14ac:dyDescent="0.25">
      <c r="G59" s="102" t="s">
        <v>86</v>
      </c>
      <c r="H59" s="221">
        <f>H117</f>
        <v>0</v>
      </c>
      <c r="I59" s="221">
        <f t="shared" ref="I59:S59" si="14">I117</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87</v>
      </c>
      <c r="H60" s="221">
        <f>H122</f>
        <v>0</v>
      </c>
      <c r="I60" s="221">
        <f t="shared" ref="I60:S60" si="15">I122</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214"/>
    </row>
    <row r="62" spans="1:20" x14ac:dyDescent="0.25">
      <c r="I62" s="118"/>
      <c r="J62" s="118"/>
      <c r="K62" s="118"/>
      <c r="L62" s="118"/>
      <c r="M62" s="118"/>
      <c r="N62" s="118"/>
    </row>
    <row r="63" spans="1:20" x14ac:dyDescent="0.25">
      <c r="G63" s="119"/>
      <c r="H63" s="344"/>
      <c r="I63" s="222"/>
      <c r="J63" s="222"/>
      <c r="K63" s="222"/>
      <c r="L63" s="222"/>
      <c r="M63" s="222"/>
      <c r="N63" s="222"/>
      <c r="O63" s="118"/>
    </row>
    <row r="64" spans="1:20" x14ac:dyDescent="0.25">
      <c r="G64" s="119"/>
      <c r="H64" s="344"/>
      <c r="I64" s="222"/>
      <c r="J64" s="222"/>
      <c r="K64" s="222"/>
      <c r="L64" s="222"/>
      <c r="M64" s="222"/>
      <c r="N64" s="222"/>
      <c r="O64" s="118"/>
    </row>
    <row r="65" spans="1:15" x14ac:dyDescent="0.25">
      <c r="G65" s="119"/>
      <c r="H65" s="344"/>
      <c r="I65" s="222"/>
      <c r="J65" s="222"/>
      <c r="K65" s="222"/>
      <c r="L65" s="222"/>
      <c r="M65" s="222"/>
      <c r="N65" s="222"/>
      <c r="O65" s="118"/>
    </row>
    <row r="66" spans="1:15" x14ac:dyDescent="0.25">
      <c r="G66" s="119"/>
      <c r="H66" s="344"/>
      <c r="I66" s="222"/>
      <c r="J66" s="222"/>
      <c r="K66" s="222"/>
      <c r="L66" s="222"/>
      <c r="M66" s="222"/>
      <c r="N66" s="222"/>
      <c r="O66" s="118"/>
    </row>
    <row r="67" spans="1:15" x14ac:dyDescent="0.25">
      <c r="G67" s="119"/>
      <c r="H67" s="344"/>
      <c r="I67" s="222"/>
      <c r="J67" s="222"/>
      <c r="K67" s="222"/>
      <c r="L67" s="222"/>
      <c r="M67" s="222"/>
      <c r="N67" s="222"/>
      <c r="O67" s="118"/>
    </row>
    <row r="68" spans="1:15" x14ac:dyDescent="0.25">
      <c r="G68" s="119"/>
      <c r="H68" s="344"/>
      <c r="I68" s="222"/>
      <c r="J68" s="222"/>
      <c r="K68" s="222"/>
      <c r="L68" s="222"/>
      <c r="M68" s="222"/>
      <c r="N68" s="222"/>
      <c r="O68" s="118"/>
    </row>
    <row r="69" spans="1:15" x14ac:dyDescent="0.25">
      <c r="G69" s="119"/>
      <c r="H69" s="195"/>
      <c r="I69" s="222"/>
      <c r="J69" s="222"/>
      <c r="K69" s="222"/>
      <c r="L69" s="222"/>
      <c r="M69" s="222"/>
      <c r="N69" s="222"/>
      <c r="O69" s="118"/>
    </row>
    <row r="70" spans="1:15" x14ac:dyDescent="0.25">
      <c r="A70" s="102"/>
      <c r="B70" s="209"/>
      <c r="G70" s="119"/>
      <c r="H70" s="195"/>
      <c r="I70" s="222"/>
      <c r="J70" s="222"/>
      <c r="K70" s="222"/>
      <c r="L70" s="222"/>
      <c r="M70" s="222"/>
      <c r="N70" s="222"/>
      <c r="O70" s="118"/>
    </row>
    <row r="71" spans="1:15" x14ac:dyDescent="0.25">
      <c r="A71" s="102"/>
      <c r="B71" s="209"/>
      <c r="G71" s="119"/>
      <c r="H71" s="195"/>
      <c r="I71" s="222"/>
      <c r="J71" s="222"/>
      <c r="K71" s="222"/>
      <c r="L71" s="222"/>
      <c r="M71" s="222"/>
      <c r="N71" s="222"/>
      <c r="O71" s="118"/>
    </row>
    <row r="72" spans="1:15" x14ac:dyDescent="0.25">
      <c r="A72" s="102"/>
      <c r="B72" s="209"/>
      <c r="G72" s="119"/>
      <c r="H72" s="195"/>
      <c r="I72" s="222"/>
      <c r="J72" s="222"/>
      <c r="K72" s="222"/>
      <c r="L72" s="222"/>
      <c r="M72" s="222"/>
      <c r="N72" s="222"/>
      <c r="O72" s="118"/>
    </row>
    <row r="73" spans="1:15" x14ac:dyDescent="0.25">
      <c r="A73" s="102"/>
      <c r="B73" s="209"/>
      <c r="G73" s="119"/>
      <c r="H73" s="195"/>
      <c r="I73" s="222"/>
      <c r="J73" s="222"/>
      <c r="K73" s="222"/>
      <c r="L73" s="222"/>
      <c r="M73" s="222"/>
      <c r="N73" s="222"/>
      <c r="O73" s="118"/>
    </row>
    <row r="74" spans="1:15" x14ac:dyDescent="0.25">
      <c r="A74" s="102"/>
      <c r="B74" s="209"/>
      <c r="G74" s="119"/>
      <c r="H74" s="195"/>
      <c r="I74" s="222"/>
      <c r="J74" s="222"/>
      <c r="K74" s="222"/>
      <c r="L74" s="222"/>
      <c r="M74" s="222"/>
      <c r="N74" s="222"/>
      <c r="O74" s="118"/>
    </row>
    <row r="75" spans="1:15" x14ac:dyDescent="0.25">
      <c r="A75" s="102"/>
      <c r="B75" s="209"/>
      <c r="G75" s="119"/>
      <c r="H75" s="195"/>
      <c r="I75" s="222"/>
      <c r="J75" s="222"/>
      <c r="K75" s="222"/>
      <c r="L75" s="222"/>
      <c r="M75" s="222"/>
      <c r="N75" s="222"/>
      <c r="O75" s="118"/>
    </row>
    <row r="76" spans="1:15" x14ac:dyDescent="0.25">
      <c r="A76" s="102"/>
      <c r="B76" s="209"/>
      <c r="G76" s="119"/>
      <c r="H76" s="195"/>
      <c r="I76" s="222"/>
      <c r="J76" s="222"/>
      <c r="K76" s="222"/>
      <c r="L76" s="222"/>
      <c r="M76" s="222"/>
      <c r="N76" s="222"/>
      <c r="O76" s="118"/>
    </row>
    <row r="77" spans="1:15" x14ac:dyDescent="0.25">
      <c r="A77" s="102"/>
      <c r="B77" s="209"/>
      <c r="G77" s="119"/>
      <c r="H77" s="195"/>
      <c r="I77" s="222"/>
      <c r="J77" s="222"/>
      <c r="K77" s="222"/>
      <c r="L77" s="222"/>
      <c r="M77" s="222"/>
      <c r="N77" s="222"/>
      <c r="O77" s="118"/>
    </row>
    <row r="78" spans="1:15" x14ac:dyDescent="0.25">
      <c r="A78" s="102"/>
      <c r="B78" s="209"/>
      <c r="G78" s="119"/>
      <c r="H78" s="195"/>
      <c r="I78" s="222"/>
      <c r="J78" s="222"/>
      <c r="K78" s="222"/>
      <c r="L78" s="222"/>
      <c r="M78" s="222"/>
      <c r="N78" s="222"/>
      <c r="O78" s="118"/>
    </row>
    <row r="79" spans="1:15" x14ac:dyDescent="0.25">
      <c r="A79" s="102"/>
      <c r="B79" s="209"/>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260</v>
      </c>
    </row>
    <row r="94" spans="1:19" x14ac:dyDescent="0.25">
      <c r="A94" s="102"/>
      <c r="B94" s="209"/>
      <c r="G94" s="211"/>
      <c r="H94" s="149" t="s">
        <v>261</v>
      </c>
    </row>
    <row r="95" spans="1:19" x14ac:dyDescent="0.25">
      <c r="A95" s="102"/>
      <c r="B95" s="209"/>
      <c r="G95" s="149" t="s">
        <v>259</v>
      </c>
      <c r="H95" s="81">
        <f t="shared" ref="H95:S95" si="16">H47/ABS(H32+0.000001)</f>
        <v>9.9999998000000053E-5</v>
      </c>
      <c r="I95" s="81">
        <f t="shared" si="16"/>
        <v>9.9999998000000053E-5</v>
      </c>
      <c r="J95" s="81">
        <f t="shared" si="16"/>
        <v>1.0000000200000004E-4</v>
      </c>
      <c r="K95" s="81">
        <f t="shared" si="16"/>
        <v>1.0000000200000004E-4</v>
      </c>
      <c r="L95" s="81">
        <f t="shared" si="16"/>
        <v>0</v>
      </c>
      <c r="M95" s="81">
        <f t="shared" si="16"/>
        <v>0</v>
      </c>
      <c r="N95" s="81">
        <f t="shared" si="16"/>
        <v>0</v>
      </c>
      <c r="O95" s="81">
        <f t="shared" si="16"/>
        <v>0</v>
      </c>
      <c r="P95" s="81">
        <f t="shared" si="16"/>
        <v>0</v>
      </c>
      <c r="Q95" s="81">
        <f t="shared" si="16"/>
        <v>0</v>
      </c>
      <c r="R95" s="81">
        <f t="shared" si="16"/>
        <v>0</v>
      </c>
      <c r="S95" s="81">
        <f t="shared" si="16"/>
        <v>0</v>
      </c>
    </row>
    <row r="96" spans="1:19" x14ac:dyDescent="0.25">
      <c r="A96" s="102"/>
      <c r="B96" s="209"/>
      <c r="G96" s="149" t="s">
        <v>259</v>
      </c>
      <c r="H96" s="81">
        <f t="shared" ref="H96:S96" si="17">H48/ABS(H31+0.000001)</f>
        <v>9.9999998000000053E-5</v>
      </c>
      <c r="I96" s="81">
        <f t="shared" si="17"/>
        <v>1.0000000200000004E-4</v>
      </c>
      <c r="J96" s="81">
        <f t="shared" si="17"/>
        <v>1.0000000200000004E-4</v>
      </c>
      <c r="K96" s="81">
        <f t="shared" si="17"/>
        <v>9.9999998000000053E-5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81" t="s">
        <v>257</v>
      </c>
      <c r="H97" s="224">
        <f>IF(MIN(H95,H96)&gt;1,0,MIN(H95,H96))</f>
        <v>9.9999998000000053E-5</v>
      </c>
      <c r="I97" s="224">
        <f t="shared" ref="I97:S97" si="18">IF(MIN(I95,I96)&gt;1,0,MIN(I95,I96))</f>
        <v>9.9999998000000053E-5</v>
      </c>
      <c r="J97" s="224">
        <f t="shared" si="18"/>
        <v>1.0000000200000004E-4</v>
      </c>
      <c r="K97" s="224">
        <f t="shared" si="18"/>
        <v>9.9999998000000053E-5</v>
      </c>
      <c r="L97" s="224">
        <f t="shared" si="18"/>
        <v>0</v>
      </c>
      <c r="M97" s="224">
        <f t="shared" si="18"/>
        <v>0</v>
      </c>
      <c r="N97" s="224">
        <f t="shared" si="18"/>
        <v>0</v>
      </c>
      <c r="O97" s="224">
        <f t="shared" si="18"/>
        <v>0</v>
      </c>
      <c r="P97" s="224">
        <f t="shared" si="18"/>
        <v>0</v>
      </c>
      <c r="Q97" s="224">
        <f t="shared" si="18"/>
        <v>0</v>
      </c>
      <c r="R97" s="224">
        <f t="shared" si="18"/>
        <v>0</v>
      </c>
      <c r="S97" s="224">
        <f t="shared" si="18"/>
        <v>0</v>
      </c>
    </row>
    <row r="98" spans="1:19" x14ac:dyDescent="0.25">
      <c r="A98" s="102"/>
      <c r="B98" s="209"/>
      <c r="H98" s="149" t="s">
        <v>262</v>
      </c>
      <c r="I98" s="149"/>
      <c r="J98" s="149"/>
      <c r="K98" s="149"/>
      <c r="L98" s="149"/>
      <c r="M98" s="149"/>
      <c r="N98" s="149"/>
      <c r="O98" s="149"/>
      <c r="P98" s="149"/>
      <c r="Q98" s="149"/>
      <c r="R98" s="149"/>
      <c r="S98" s="149"/>
    </row>
    <row r="99" spans="1:19" x14ac:dyDescent="0.25">
      <c r="A99" s="102"/>
      <c r="B99" s="209"/>
      <c r="G99" s="115" t="s">
        <v>259</v>
      </c>
      <c r="H99" s="154">
        <f t="shared" ref="H99:S99" si="19">H48/ABS(H30+0.000001)</f>
        <v>5000</v>
      </c>
      <c r="I99" s="154">
        <f t="shared" si="19"/>
        <v>5000</v>
      </c>
      <c r="J99" s="154">
        <f t="shared" si="19"/>
        <v>5000</v>
      </c>
      <c r="K99" s="154">
        <f t="shared" si="19"/>
        <v>5000</v>
      </c>
      <c r="L99" s="154">
        <f t="shared" si="19"/>
        <v>0</v>
      </c>
      <c r="M99" s="154">
        <f t="shared" si="19"/>
        <v>0</v>
      </c>
      <c r="N99" s="154">
        <f t="shared" si="19"/>
        <v>0</v>
      </c>
      <c r="O99" s="154">
        <f t="shared" si="19"/>
        <v>0</v>
      </c>
      <c r="P99" s="154">
        <f t="shared" si="19"/>
        <v>0</v>
      </c>
      <c r="Q99" s="154">
        <f t="shared" si="19"/>
        <v>0</v>
      </c>
      <c r="R99" s="154">
        <f t="shared" si="19"/>
        <v>0</v>
      </c>
      <c r="S99" s="154">
        <f t="shared" si="19"/>
        <v>0</v>
      </c>
    </row>
    <row r="100" spans="1:19" x14ac:dyDescent="0.25">
      <c r="G100" s="115" t="s">
        <v>259</v>
      </c>
      <c r="H100" s="225">
        <f t="shared" ref="H100:S100" si="20">H46/ABS(H32+0.000001)</f>
        <v>9.9999998000000053E-5</v>
      </c>
      <c r="I100" s="225">
        <f t="shared" si="20"/>
        <v>9.9999998000000053E-5</v>
      </c>
      <c r="J100" s="225">
        <f t="shared" si="20"/>
        <v>1.0000000200000004E-4</v>
      </c>
      <c r="K100" s="225">
        <f t="shared" si="20"/>
        <v>1.0000000200000004E-4</v>
      </c>
      <c r="L100" s="225">
        <f t="shared" si="20"/>
        <v>0</v>
      </c>
      <c r="M100" s="225">
        <f t="shared" si="20"/>
        <v>0</v>
      </c>
      <c r="N100" s="225">
        <f t="shared" si="20"/>
        <v>0</v>
      </c>
      <c r="O100" s="225">
        <f t="shared" si="20"/>
        <v>0</v>
      </c>
      <c r="P100" s="225">
        <f t="shared" si="20"/>
        <v>0</v>
      </c>
      <c r="Q100" s="225">
        <f t="shared" si="20"/>
        <v>0</v>
      </c>
      <c r="R100" s="225">
        <f t="shared" si="20"/>
        <v>0</v>
      </c>
      <c r="S100" s="225">
        <f t="shared" si="20"/>
        <v>0</v>
      </c>
    </row>
    <row r="101" spans="1:19" x14ac:dyDescent="0.25">
      <c r="G101" s="81" t="s">
        <v>257</v>
      </c>
      <c r="H101" s="224">
        <f>IF(MIN(H99,H100)&gt;1,0,MIN(H99,H100))</f>
        <v>9.9999998000000053E-5</v>
      </c>
      <c r="I101" s="224">
        <f t="shared" ref="I101:S101" si="21">IF(MIN(I99,I100)&gt;1,0,MIN(I99,I100))</f>
        <v>9.9999998000000053E-5</v>
      </c>
      <c r="J101" s="224">
        <f t="shared" si="21"/>
        <v>1.0000000200000004E-4</v>
      </c>
      <c r="K101" s="224">
        <f t="shared" si="21"/>
        <v>1.0000000200000004E-4</v>
      </c>
      <c r="L101" s="224">
        <f t="shared" si="21"/>
        <v>0</v>
      </c>
      <c r="M101" s="224">
        <f t="shared" si="21"/>
        <v>0</v>
      </c>
      <c r="N101" s="224">
        <f t="shared" si="21"/>
        <v>0</v>
      </c>
      <c r="O101" s="224">
        <f t="shared" si="21"/>
        <v>0</v>
      </c>
      <c r="P101" s="224">
        <f t="shared" si="21"/>
        <v>0</v>
      </c>
      <c r="Q101" s="224">
        <f t="shared" si="21"/>
        <v>0</v>
      </c>
      <c r="R101" s="224">
        <f t="shared" si="21"/>
        <v>0</v>
      </c>
      <c r="S101" s="224">
        <f t="shared" si="21"/>
        <v>0</v>
      </c>
    </row>
    <row r="102" spans="1:19" x14ac:dyDescent="0.25">
      <c r="H102" s="81" t="s">
        <v>263</v>
      </c>
    </row>
    <row r="103" spans="1:19" x14ac:dyDescent="0.25">
      <c r="G103" s="149" t="s">
        <v>259</v>
      </c>
      <c r="H103" s="81">
        <f t="shared" ref="H103:S103" si="22">H47/ABS(H30+0.000001)</f>
        <v>5000</v>
      </c>
      <c r="I103" s="81">
        <f t="shared" si="22"/>
        <v>5000</v>
      </c>
      <c r="J103" s="81">
        <f t="shared" si="22"/>
        <v>5000</v>
      </c>
      <c r="K103" s="81">
        <f t="shared" si="22"/>
        <v>5000</v>
      </c>
      <c r="L103" s="81">
        <f t="shared" si="22"/>
        <v>0</v>
      </c>
      <c r="M103" s="81">
        <f t="shared" si="22"/>
        <v>0</v>
      </c>
      <c r="N103" s="81">
        <f t="shared" si="22"/>
        <v>0</v>
      </c>
      <c r="O103" s="81">
        <f t="shared" si="22"/>
        <v>0</v>
      </c>
      <c r="P103" s="81">
        <f t="shared" si="22"/>
        <v>0</v>
      </c>
      <c r="Q103" s="81">
        <f t="shared" si="22"/>
        <v>0</v>
      </c>
      <c r="R103" s="81">
        <f t="shared" si="22"/>
        <v>0</v>
      </c>
      <c r="S103" s="81">
        <f t="shared" si="22"/>
        <v>0</v>
      </c>
    </row>
    <row r="104" spans="1:19" x14ac:dyDescent="0.25">
      <c r="G104" s="149" t="s">
        <v>259</v>
      </c>
      <c r="H104" s="81">
        <f t="shared" ref="H104:S104" si="23">H46/ABS(H31+0.000001)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G105" s="81" t="s">
        <v>257</v>
      </c>
      <c r="H105" s="224">
        <f>IF(MIN(H103,H104)&gt;1,0,MIN(H103,H104))</f>
        <v>9.9999998000000053E-5</v>
      </c>
      <c r="I105" s="224">
        <f t="shared" ref="I105:S105" si="24">IF(MIN(I103,I104)&gt;1,0,MIN(I103,I104))</f>
        <v>1.0000000200000004E-4</v>
      </c>
      <c r="J105" s="224">
        <f t="shared" si="24"/>
        <v>1.0000000200000004E-4</v>
      </c>
      <c r="K105" s="224">
        <f t="shared" si="24"/>
        <v>9.9999998000000053E-5</v>
      </c>
      <c r="L105" s="224">
        <f t="shared" si="24"/>
        <v>0</v>
      </c>
      <c r="M105" s="224">
        <f t="shared" si="24"/>
        <v>0</v>
      </c>
      <c r="N105" s="224">
        <f t="shared" si="24"/>
        <v>0</v>
      </c>
      <c r="O105" s="224">
        <f t="shared" si="24"/>
        <v>0</v>
      </c>
      <c r="P105" s="224">
        <f t="shared" si="24"/>
        <v>0</v>
      </c>
      <c r="Q105" s="224">
        <f t="shared" si="24"/>
        <v>0</v>
      </c>
      <c r="R105" s="224">
        <f t="shared" si="24"/>
        <v>0</v>
      </c>
      <c r="S105" s="224">
        <f t="shared" si="24"/>
        <v>0</v>
      </c>
    </row>
    <row r="107" spans="1:19" x14ac:dyDescent="0.25">
      <c r="G107" s="223" t="s">
        <v>308</v>
      </c>
      <c r="H107" s="223"/>
      <c r="I107" s="223"/>
      <c r="J107" s="223"/>
      <c r="K107" s="223"/>
      <c r="L107" s="223"/>
      <c r="M107" s="223"/>
      <c r="N107" s="223"/>
      <c r="O107" s="223"/>
      <c r="P107" s="223"/>
    </row>
    <row r="108" spans="1:19" x14ac:dyDescent="0.25">
      <c r="H108" s="102" t="s">
        <v>254</v>
      </c>
      <c r="I108" s="102"/>
      <c r="J108" s="102"/>
      <c r="K108" s="102"/>
      <c r="L108" s="102"/>
      <c r="M108" s="102"/>
      <c r="N108" s="102"/>
      <c r="O108" s="102"/>
      <c r="P108" s="102"/>
      <c r="Q108" s="102"/>
      <c r="R108" s="102"/>
      <c r="S108" s="102"/>
    </row>
    <row r="109" spans="1:19" x14ac:dyDescent="0.25">
      <c r="G109" s="149" t="s">
        <v>259</v>
      </c>
      <c r="H109" s="224">
        <f t="shared" ref="H109:S109" si="25">H55/(H32+0.000001)</f>
        <v>0</v>
      </c>
      <c r="I109" s="224">
        <f t="shared" si="25"/>
        <v>0</v>
      </c>
      <c r="J109" s="224">
        <f t="shared" si="25"/>
        <v>0</v>
      </c>
      <c r="K109" s="224">
        <f t="shared" si="25"/>
        <v>0</v>
      </c>
      <c r="L109" s="224">
        <f t="shared" si="25"/>
        <v>0</v>
      </c>
      <c r="M109" s="224">
        <f t="shared" si="25"/>
        <v>0</v>
      </c>
      <c r="N109" s="224">
        <f t="shared" si="25"/>
        <v>0</v>
      </c>
      <c r="O109" s="224">
        <f t="shared" si="25"/>
        <v>0</v>
      </c>
      <c r="P109" s="224">
        <f t="shared" si="25"/>
        <v>0</v>
      </c>
      <c r="Q109" s="224">
        <f t="shared" si="25"/>
        <v>0</v>
      </c>
      <c r="R109" s="224">
        <f t="shared" si="25"/>
        <v>0</v>
      </c>
      <c r="S109" s="224">
        <f t="shared" si="25"/>
        <v>0</v>
      </c>
    </row>
    <row r="110" spans="1:19" x14ac:dyDescent="0.25">
      <c r="G110" s="149" t="s">
        <v>259</v>
      </c>
      <c r="H110" s="226">
        <f t="shared" ref="H110:S110" si="26">H56/(H31+0.000001)</f>
        <v>0</v>
      </c>
      <c r="I110" s="226">
        <f t="shared" si="26"/>
        <v>0</v>
      </c>
      <c r="J110" s="226">
        <f t="shared" si="26"/>
        <v>0</v>
      </c>
      <c r="K110" s="226">
        <f t="shared" si="26"/>
        <v>0</v>
      </c>
      <c r="L110" s="226">
        <f t="shared" si="26"/>
        <v>0</v>
      </c>
      <c r="M110" s="226">
        <f t="shared" si="26"/>
        <v>0</v>
      </c>
      <c r="N110" s="226">
        <f t="shared" si="26"/>
        <v>0</v>
      </c>
      <c r="O110" s="226">
        <f t="shared" si="26"/>
        <v>0</v>
      </c>
      <c r="P110" s="226">
        <f t="shared" si="26"/>
        <v>0</v>
      </c>
      <c r="Q110" s="226">
        <f t="shared" si="26"/>
        <v>0</v>
      </c>
      <c r="R110" s="226">
        <f t="shared" si="26"/>
        <v>0</v>
      </c>
      <c r="S110" s="226">
        <f t="shared" si="26"/>
        <v>0</v>
      </c>
    </row>
    <row r="111" spans="1:19" x14ac:dyDescent="0.25">
      <c r="G111" s="81" t="s">
        <v>258</v>
      </c>
      <c r="H111" s="144">
        <f>SIGN(H109+0.000000000001)*SIGN(H110+0.000000000001)</f>
        <v>1</v>
      </c>
      <c r="I111" s="144">
        <f t="shared" ref="I111:S111" si="27">SIGN(I109+0.000000000001)*SIGN(I110+0.000000000001)</f>
        <v>1</v>
      </c>
      <c r="J111" s="144">
        <f t="shared" si="27"/>
        <v>1</v>
      </c>
      <c r="K111" s="144">
        <f t="shared" si="27"/>
        <v>1</v>
      </c>
      <c r="L111" s="144">
        <f t="shared" si="27"/>
        <v>1</v>
      </c>
      <c r="M111" s="144">
        <f t="shared" si="27"/>
        <v>1</v>
      </c>
      <c r="N111" s="144">
        <f t="shared" si="27"/>
        <v>1</v>
      </c>
      <c r="O111" s="144">
        <f t="shared" si="27"/>
        <v>1</v>
      </c>
      <c r="P111" s="144">
        <f t="shared" si="27"/>
        <v>1</v>
      </c>
      <c r="Q111" s="144">
        <f t="shared" si="27"/>
        <v>1</v>
      </c>
      <c r="R111" s="144">
        <f t="shared" si="27"/>
        <v>1</v>
      </c>
      <c r="S111" s="144">
        <f t="shared" si="27"/>
        <v>1</v>
      </c>
    </row>
    <row r="112" spans="1:19" x14ac:dyDescent="0.25">
      <c r="G112" s="81" t="s">
        <v>257</v>
      </c>
      <c r="H112" s="224">
        <f>IF(H111*MIN(ABS(H109),ABS(H110))&gt;1,0,H111*MIN(ABS(H109),ABS(H110)))</f>
        <v>0</v>
      </c>
      <c r="I112" s="224">
        <f t="shared" ref="I112:S112" si="28">IF(I111*MIN(ABS(I109),ABS(I110))&gt;1,0,I111*MIN(ABS(I109),ABS(I110)))</f>
        <v>0</v>
      </c>
      <c r="J112" s="224">
        <f t="shared" si="28"/>
        <v>0</v>
      </c>
      <c r="K112" s="224">
        <f t="shared" si="28"/>
        <v>0</v>
      </c>
      <c r="L112" s="224">
        <f t="shared" si="28"/>
        <v>0</v>
      </c>
      <c r="M112" s="224">
        <f t="shared" si="28"/>
        <v>0</v>
      </c>
      <c r="N112" s="224">
        <f t="shared" si="28"/>
        <v>0</v>
      </c>
      <c r="O112" s="224">
        <f t="shared" si="28"/>
        <v>0</v>
      </c>
      <c r="P112" s="224">
        <f t="shared" si="28"/>
        <v>0</v>
      </c>
      <c r="Q112" s="224">
        <f t="shared" si="28"/>
        <v>0</v>
      </c>
      <c r="R112" s="224">
        <f t="shared" si="28"/>
        <v>0</v>
      </c>
      <c r="S112" s="224">
        <f t="shared" si="28"/>
        <v>0</v>
      </c>
    </row>
    <row r="113" spans="7:19" x14ac:dyDescent="0.25">
      <c r="H113" s="102" t="s">
        <v>255</v>
      </c>
      <c r="I113" s="102"/>
      <c r="J113" s="102"/>
      <c r="K113" s="102"/>
      <c r="L113" s="102"/>
      <c r="M113" s="102"/>
      <c r="N113" s="102"/>
      <c r="O113" s="102"/>
      <c r="P113" s="102"/>
      <c r="Q113" s="102"/>
      <c r="R113" s="102"/>
      <c r="S113" s="102"/>
    </row>
    <row r="114" spans="7:19" x14ac:dyDescent="0.25">
      <c r="G114" s="115" t="s">
        <v>259</v>
      </c>
      <c r="H114" s="154">
        <f t="shared" ref="H114:S114" si="29">-H56/(H30+0.000001)</f>
        <v>0</v>
      </c>
      <c r="I114" s="154">
        <f t="shared" si="29"/>
        <v>0</v>
      </c>
      <c r="J114" s="154">
        <f t="shared" si="29"/>
        <v>0</v>
      </c>
      <c r="K114" s="154">
        <f t="shared" si="29"/>
        <v>0</v>
      </c>
      <c r="L114" s="154">
        <f t="shared" si="29"/>
        <v>0</v>
      </c>
      <c r="M114" s="154">
        <f t="shared" si="29"/>
        <v>0</v>
      </c>
      <c r="N114" s="154">
        <f t="shared" si="29"/>
        <v>0</v>
      </c>
      <c r="O114" s="154">
        <f t="shared" si="29"/>
        <v>0</v>
      </c>
      <c r="P114" s="154">
        <f t="shared" si="29"/>
        <v>0</v>
      </c>
      <c r="Q114" s="154">
        <f t="shared" si="29"/>
        <v>0</v>
      </c>
      <c r="R114" s="154">
        <f t="shared" si="29"/>
        <v>0</v>
      </c>
      <c r="S114" s="154">
        <f t="shared" si="29"/>
        <v>0</v>
      </c>
    </row>
    <row r="115" spans="7:19" x14ac:dyDescent="0.25">
      <c r="G115" s="115" t="s">
        <v>259</v>
      </c>
      <c r="H115" s="154">
        <f t="shared" ref="H115:S115" si="30">H54/(H32+0.000001)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54" t="s">
        <v>258</v>
      </c>
      <c r="H116" s="227">
        <f>SIGN(H114+0.000000000001)*SIGN(H115+0.000000000001)</f>
        <v>1</v>
      </c>
      <c r="I116" s="227">
        <f t="shared" ref="I116:S116" si="31">SIGN(I114+0.000000000001)*SIGN(I115+0.000000000001)</f>
        <v>1</v>
      </c>
      <c r="J116" s="227">
        <f t="shared" si="31"/>
        <v>1</v>
      </c>
      <c r="K116" s="227">
        <f t="shared" si="31"/>
        <v>1</v>
      </c>
      <c r="L116" s="227">
        <f t="shared" si="31"/>
        <v>1</v>
      </c>
      <c r="M116" s="227">
        <f t="shared" si="31"/>
        <v>1</v>
      </c>
      <c r="N116" s="227">
        <f t="shared" si="31"/>
        <v>1</v>
      </c>
      <c r="O116" s="227">
        <f t="shared" si="31"/>
        <v>1</v>
      </c>
      <c r="P116" s="227">
        <f t="shared" si="31"/>
        <v>1</v>
      </c>
      <c r="Q116" s="227">
        <f t="shared" si="31"/>
        <v>1</v>
      </c>
      <c r="R116" s="227">
        <f t="shared" si="31"/>
        <v>1</v>
      </c>
      <c r="S116" s="227">
        <f t="shared" si="31"/>
        <v>1</v>
      </c>
    </row>
    <row r="117" spans="7:19" x14ac:dyDescent="0.25">
      <c r="G117" s="154" t="s">
        <v>257</v>
      </c>
      <c r="H117" s="228">
        <f>IF(H116*MIN(ABS(H114),ABS(H115))&gt;1,0,H116*MIN(ABS(H114),ABS(H115)))</f>
        <v>0</v>
      </c>
      <c r="I117" s="228">
        <f t="shared" ref="I117:S117" si="32">IF(I116*MIN(ABS(I114),ABS(I115))&gt;1,0,I116*MIN(ABS(I114),ABS(I115)))</f>
        <v>0</v>
      </c>
      <c r="J117" s="228">
        <f t="shared" si="32"/>
        <v>0</v>
      </c>
      <c r="K117" s="228">
        <f t="shared" si="32"/>
        <v>0</v>
      </c>
      <c r="L117" s="228">
        <f t="shared" si="32"/>
        <v>0</v>
      </c>
      <c r="M117" s="228">
        <f t="shared" si="32"/>
        <v>0</v>
      </c>
      <c r="N117" s="228">
        <f t="shared" si="32"/>
        <v>0</v>
      </c>
      <c r="O117" s="228">
        <f t="shared" si="32"/>
        <v>0</v>
      </c>
      <c r="P117" s="228">
        <f t="shared" si="32"/>
        <v>0</v>
      </c>
      <c r="Q117" s="228">
        <f t="shared" si="32"/>
        <v>0</v>
      </c>
      <c r="R117" s="228">
        <f t="shared" si="32"/>
        <v>0</v>
      </c>
      <c r="S117" s="228">
        <f t="shared" si="32"/>
        <v>0</v>
      </c>
    </row>
    <row r="118" spans="7:19" x14ac:dyDescent="0.25">
      <c r="H118" s="102" t="s">
        <v>256</v>
      </c>
      <c r="I118" s="102"/>
      <c r="J118" s="102"/>
      <c r="K118" s="102"/>
      <c r="L118" s="102"/>
      <c r="M118" s="102"/>
      <c r="N118" s="102"/>
      <c r="O118" s="102"/>
      <c r="P118" s="102"/>
      <c r="Q118" s="102"/>
      <c r="R118" s="102"/>
      <c r="S118" s="102"/>
    </row>
    <row r="119" spans="7:19" x14ac:dyDescent="0.25">
      <c r="G119" s="149" t="s">
        <v>259</v>
      </c>
      <c r="H119" s="224">
        <f t="shared" ref="H119:S119" si="33">H55/(H30+0.000001)</f>
        <v>0</v>
      </c>
      <c r="I119" s="224">
        <f t="shared" si="33"/>
        <v>0</v>
      </c>
      <c r="J119" s="224">
        <f t="shared" si="33"/>
        <v>0</v>
      </c>
      <c r="K119" s="224">
        <f t="shared" si="33"/>
        <v>0</v>
      </c>
      <c r="L119" s="224">
        <f t="shared" si="33"/>
        <v>0</v>
      </c>
      <c r="M119" s="224">
        <f t="shared" si="33"/>
        <v>0</v>
      </c>
      <c r="N119" s="224">
        <f t="shared" si="33"/>
        <v>0</v>
      </c>
      <c r="O119" s="224">
        <f t="shared" si="33"/>
        <v>0</v>
      </c>
      <c r="P119" s="224">
        <f t="shared" si="33"/>
        <v>0</v>
      </c>
      <c r="Q119" s="224">
        <f t="shared" si="33"/>
        <v>0</v>
      </c>
      <c r="R119" s="224">
        <f t="shared" si="33"/>
        <v>0</v>
      </c>
      <c r="S119" s="224">
        <f t="shared" si="33"/>
        <v>0</v>
      </c>
    </row>
    <row r="120" spans="7:19" x14ac:dyDescent="0.25">
      <c r="G120" s="149" t="s">
        <v>259</v>
      </c>
      <c r="H120" s="81">
        <f t="shared" ref="H120:S120" si="34">H54/(H31+0.000001)</f>
        <v>0</v>
      </c>
      <c r="I120" s="81">
        <f t="shared" si="34"/>
        <v>0</v>
      </c>
      <c r="J120" s="81">
        <f t="shared" si="34"/>
        <v>0</v>
      </c>
      <c r="K120" s="81">
        <f t="shared" si="34"/>
        <v>0</v>
      </c>
      <c r="L120" s="81">
        <f t="shared" si="34"/>
        <v>0</v>
      </c>
      <c r="M120" s="81">
        <f t="shared" si="34"/>
        <v>0</v>
      </c>
      <c r="N120" s="81">
        <f t="shared" si="34"/>
        <v>0</v>
      </c>
      <c r="O120" s="81">
        <f t="shared" si="34"/>
        <v>0</v>
      </c>
      <c r="P120" s="81">
        <f t="shared" si="34"/>
        <v>0</v>
      </c>
      <c r="Q120" s="81">
        <f t="shared" si="34"/>
        <v>0</v>
      </c>
      <c r="R120" s="81">
        <f t="shared" si="34"/>
        <v>0</v>
      </c>
      <c r="S120" s="81">
        <f t="shared" si="34"/>
        <v>0</v>
      </c>
    </row>
    <row r="121" spans="7:19" x14ac:dyDescent="0.25">
      <c r="G121" s="81" t="s">
        <v>258</v>
      </c>
      <c r="H121" s="144">
        <f>SIGN(H119+0.000000000001)*SIGN(H120+0.000000000001)</f>
        <v>1</v>
      </c>
      <c r="I121" s="144">
        <f t="shared" ref="I121:S121" si="35">SIGN(I119+0.000000000001)*SIGN(I120+0.000000000001)</f>
        <v>1</v>
      </c>
      <c r="J121" s="144">
        <f t="shared" si="35"/>
        <v>1</v>
      </c>
      <c r="K121" s="144">
        <f t="shared" si="35"/>
        <v>1</v>
      </c>
      <c r="L121" s="144">
        <f t="shared" si="35"/>
        <v>1</v>
      </c>
      <c r="M121" s="144">
        <f t="shared" si="35"/>
        <v>1</v>
      </c>
      <c r="N121" s="144">
        <f t="shared" si="35"/>
        <v>1</v>
      </c>
      <c r="O121" s="144">
        <f t="shared" si="35"/>
        <v>1</v>
      </c>
      <c r="P121" s="144">
        <f t="shared" si="35"/>
        <v>1</v>
      </c>
      <c r="Q121" s="144">
        <f t="shared" si="35"/>
        <v>1</v>
      </c>
      <c r="R121" s="144">
        <f t="shared" si="35"/>
        <v>1</v>
      </c>
      <c r="S121" s="144">
        <f t="shared" si="35"/>
        <v>1</v>
      </c>
    </row>
    <row r="122" spans="7:19" x14ac:dyDescent="0.25">
      <c r="G122" s="81" t="s">
        <v>257</v>
      </c>
      <c r="H122" s="224">
        <f>IF(H121*MIN(ABS(H119),ABS(H120))&gt;1,0,H121*MIN(ABS(H119),ABS(H120)))</f>
        <v>0</v>
      </c>
      <c r="I122" s="224">
        <f t="shared" ref="I122:S122" si="36">IF(I121*MIN(ABS(I119),ABS(I120))&gt;1,0,I121*MIN(ABS(I119),ABS(I120)))</f>
        <v>0</v>
      </c>
      <c r="J122" s="224">
        <f t="shared" si="36"/>
        <v>0</v>
      </c>
      <c r="K122" s="224">
        <f t="shared" si="36"/>
        <v>0</v>
      </c>
      <c r="L122" s="224">
        <f t="shared" si="36"/>
        <v>0</v>
      </c>
      <c r="M122" s="224">
        <f t="shared" si="36"/>
        <v>0</v>
      </c>
      <c r="N122" s="224">
        <f t="shared" si="36"/>
        <v>0</v>
      </c>
      <c r="O122" s="224">
        <f t="shared" si="36"/>
        <v>0</v>
      </c>
      <c r="P122" s="224">
        <f t="shared" si="36"/>
        <v>0</v>
      </c>
      <c r="Q122" s="224">
        <f t="shared" si="36"/>
        <v>0</v>
      </c>
      <c r="R122" s="224">
        <f t="shared" si="36"/>
        <v>0</v>
      </c>
      <c r="S122" s="224">
        <f t="shared" si="36"/>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B12" sqref="B12"/>
    </sheetView>
  </sheetViews>
  <sheetFormatPr defaultColWidth="11" defaultRowHeight="15.75" x14ac:dyDescent="0.25"/>
  <cols>
    <col min="1" max="1" width="45.375" style="81" customWidth="1"/>
    <col min="2" max="2" width="21.5" style="81" customWidth="1"/>
    <col min="3" max="3" width="40.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Loads'!A144</f>
        <v>CS 5</v>
      </c>
      <c r="B1" s="205" t="str">
        <f>'CSs and Loads'!A154</f>
        <v>Bridge</v>
      </c>
    </row>
    <row r="2" spans="1:18" ht="16.5" thickBot="1" x14ac:dyDescent="0.3">
      <c r="A2" s="82" t="s">
        <v>132</v>
      </c>
      <c r="E2" s="176"/>
      <c r="F2" s="176"/>
      <c r="G2" s="176"/>
      <c r="H2" s="176"/>
      <c r="I2" s="242"/>
      <c r="J2" s="176"/>
      <c r="K2" s="176"/>
      <c r="L2" s="243"/>
      <c r="M2" s="243"/>
      <c r="N2" s="207"/>
    </row>
    <row r="3" spans="1:18" x14ac:dyDescent="0.25">
      <c r="A3" s="208" t="s">
        <v>111</v>
      </c>
      <c r="D3" s="241"/>
      <c r="E3" s="345" t="s">
        <v>372</v>
      </c>
      <c r="F3" s="346"/>
      <c r="G3" s="346"/>
      <c r="H3" s="346"/>
      <c r="I3" s="346"/>
      <c r="J3" s="346"/>
      <c r="K3" s="346"/>
      <c r="L3" s="346"/>
      <c r="M3" s="347"/>
      <c r="N3" s="181"/>
      <c r="O3" s="209"/>
      <c r="P3" s="209"/>
      <c r="Q3" s="209"/>
      <c r="R3" s="209"/>
    </row>
    <row r="4" spans="1:18" x14ac:dyDescent="0.25">
      <c r="A4" s="82" t="s">
        <v>321</v>
      </c>
      <c r="B4" s="177" t="s">
        <v>335</v>
      </c>
      <c r="C4" s="82" t="s">
        <v>369</v>
      </c>
      <c r="D4" s="169"/>
      <c r="E4" s="246" t="s">
        <v>351</v>
      </c>
      <c r="F4" s="210"/>
      <c r="G4" s="210"/>
      <c r="H4" s="210"/>
      <c r="I4" s="210"/>
      <c r="J4" s="210"/>
      <c r="K4" s="210"/>
      <c r="L4" s="210"/>
      <c r="M4" s="247"/>
      <c r="N4" s="181"/>
      <c r="R4" s="209"/>
    </row>
    <row r="5" spans="1:18" x14ac:dyDescent="0.25">
      <c r="A5" s="114" t="s">
        <v>339</v>
      </c>
      <c r="B5" s="118" t="s">
        <v>340</v>
      </c>
      <c r="C5" s="102" t="s">
        <v>367</v>
      </c>
      <c r="D5" s="169">
        <v>25</v>
      </c>
      <c r="E5" s="182" t="s">
        <v>282</v>
      </c>
      <c r="F5" s="344" t="s">
        <v>285</v>
      </c>
      <c r="G5" s="151">
        <f>(B11^2/(3*B7*B17*B12))*(B12^2-2*B11*B12+B11^2)</f>
        <v>6.1903605486770484E-5</v>
      </c>
      <c r="H5" s="81">
        <v>0</v>
      </c>
      <c r="I5" s="81">
        <v>0</v>
      </c>
      <c r="J5" s="81">
        <v>0</v>
      </c>
      <c r="K5" s="81">
        <v>0</v>
      </c>
      <c r="L5" s="152">
        <f>-(B11/(3*B7*B17*B12))*(2*B11^2+B12^2-3*B11*B12)</f>
        <v>0</v>
      </c>
      <c r="M5" s="183" t="s">
        <v>276</v>
      </c>
      <c r="N5" s="181"/>
      <c r="R5" s="209"/>
    </row>
    <row r="6" spans="1:18" x14ac:dyDescent="0.25">
      <c r="A6" s="114" t="s">
        <v>342</v>
      </c>
      <c r="B6" s="118" t="s">
        <v>286</v>
      </c>
      <c r="C6" s="102" t="s">
        <v>32</v>
      </c>
      <c r="D6" s="169">
        <f>1770*9.8</f>
        <v>17346</v>
      </c>
      <c r="E6" s="182" t="s">
        <v>283</v>
      </c>
      <c r="F6" s="344"/>
      <c r="G6" s="81">
        <v>0</v>
      </c>
      <c r="H6" s="152">
        <f>1/(B7*B16*(1/B11+1/(B12-B11) ))</f>
        <v>1.3040891466398319E-6</v>
      </c>
      <c r="I6" s="81">
        <v>0</v>
      </c>
      <c r="J6" s="81">
        <v>0</v>
      </c>
      <c r="K6" s="153">
        <v>0</v>
      </c>
      <c r="L6" s="81">
        <v>0</v>
      </c>
      <c r="M6" s="183" t="s">
        <v>277</v>
      </c>
      <c r="N6" s="181"/>
      <c r="R6" s="209"/>
    </row>
    <row r="7" spans="1:18" x14ac:dyDescent="0.25">
      <c r="A7" s="102" t="s">
        <v>291</v>
      </c>
      <c r="B7" s="196">
        <v>13000</v>
      </c>
      <c r="C7" s="102" t="s">
        <v>243</v>
      </c>
      <c r="D7" s="169">
        <f>647*1000</f>
        <v>647000</v>
      </c>
      <c r="E7" s="182" t="s">
        <v>284</v>
      </c>
      <c r="F7" s="344"/>
      <c r="G7" s="81">
        <v>0</v>
      </c>
      <c r="H7" s="81">
        <v>0</v>
      </c>
      <c r="I7" s="152">
        <f>(B11^2/(3*B7*B18*B12))*(B12^2-2*B11*B12+B11^2)</f>
        <v>6.1903605486770484E-5</v>
      </c>
      <c r="J7" s="105">
        <f>I8</f>
        <v>0</v>
      </c>
      <c r="K7" s="153">
        <v>0</v>
      </c>
      <c r="L7" s="81">
        <v>0</v>
      </c>
      <c r="M7" s="183" t="s">
        <v>278</v>
      </c>
      <c r="N7" s="181"/>
      <c r="R7" s="209"/>
    </row>
    <row r="8" spans="1:18" x14ac:dyDescent="0.25">
      <c r="A8" s="102" t="s">
        <v>287</v>
      </c>
      <c r="B8" s="196">
        <v>0.38</v>
      </c>
      <c r="C8" s="102" t="s">
        <v>33</v>
      </c>
      <c r="D8" s="169">
        <v>3</v>
      </c>
      <c r="E8" s="182" t="s">
        <v>273</v>
      </c>
      <c r="F8" s="344"/>
      <c r="G8" s="81">
        <v>0</v>
      </c>
      <c r="H8" s="81">
        <v>0</v>
      </c>
      <c r="I8" s="105">
        <f>(B11/(B7*B18*B12))*(2*B11^2-3*B11*B12+B12^2)</f>
        <v>0</v>
      </c>
      <c r="J8" s="152">
        <f>(1/(3*B7*B18*B12))*(2*B12^2+3*B11^2-3*B11*B12)</f>
        <v>2.5266777749702239E-9</v>
      </c>
      <c r="K8" s="81">
        <v>0</v>
      </c>
      <c r="L8" s="81">
        <v>0</v>
      </c>
      <c r="M8" s="183" t="s">
        <v>279</v>
      </c>
      <c r="N8" s="181"/>
      <c r="R8" s="209"/>
    </row>
    <row r="9" spans="1:18" x14ac:dyDescent="0.25">
      <c r="A9" s="102" t="s">
        <v>292</v>
      </c>
      <c r="B9" s="97">
        <f>B7/(2*(1+B8))</f>
        <v>4710.144927536232</v>
      </c>
      <c r="C9" s="102" t="s">
        <v>34</v>
      </c>
      <c r="D9" s="169">
        <v>0.01</v>
      </c>
      <c r="E9" s="182" t="s">
        <v>275</v>
      </c>
      <c r="F9" s="344"/>
      <c r="G9" s="81">
        <v>0</v>
      </c>
      <c r="H9" s="81">
        <v>0</v>
      </c>
      <c r="I9" s="81">
        <v>0</v>
      </c>
      <c r="J9" s="81">
        <v>0</v>
      </c>
      <c r="K9" s="152">
        <f>(B12/4)/(B9*B19)</f>
        <v>1.5474032527184508E-10</v>
      </c>
      <c r="L9" s="81">
        <v>0</v>
      </c>
      <c r="M9" s="183" t="s">
        <v>280</v>
      </c>
      <c r="N9" s="181"/>
      <c r="R9" s="209"/>
    </row>
    <row r="10" spans="1:18" ht="16.5" thickBot="1" x14ac:dyDescent="0.3">
      <c r="A10" s="81" t="s">
        <v>343</v>
      </c>
      <c r="B10" s="82"/>
      <c r="C10" s="102" t="s">
        <v>288</v>
      </c>
      <c r="D10" s="237">
        <f>D6/(D8*D9)</f>
        <v>578200</v>
      </c>
      <c r="E10" s="184" t="s">
        <v>274</v>
      </c>
      <c r="F10" s="377"/>
      <c r="G10" s="185">
        <f>L5</f>
        <v>0</v>
      </c>
      <c r="H10" s="166">
        <v>0</v>
      </c>
      <c r="I10" s="166">
        <v>0</v>
      </c>
      <c r="J10" s="166">
        <v>0</v>
      </c>
      <c r="K10" s="166">
        <v>0</v>
      </c>
      <c r="L10" s="186">
        <f>(1/(3*B7*B17*B12))*(2*B12^2+3*B11^2-3*B11*B12)</f>
        <v>2.5266777749702239E-9</v>
      </c>
      <c r="M10" s="187" t="s">
        <v>281</v>
      </c>
      <c r="N10" s="181"/>
      <c r="R10" s="209"/>
    </row>
    <row r="11" spans="1:18" x14ac:dyDescent="0.25">
      <c r="A11" s="102" t="s">
        <v>347</v>
      </c>
      <c r="B11" s="119">
        <f>B12/2</f>
        <v>350</v>
      </c>
      <c r="C11" s="102" t="s">
        <v>35</v>
      </c>
      <c r="D11" s="82">
        <v>25</v>
      </c>
      <c r="E11" s="163"/>
      <c r="F11" s="163"/>
      <c r="G11" s="163"/>
      <c r="H11" s="163"/>
      <c r="I11" s="162"/>
      <c r="J11" s="163"/>
      <c r="K11" s="163"/>
      <c r="L11" s="163"/>
      <c r="M11" s="163"/>
      <c r="O11" s="149"/>
      <c r="R11" s="209"/>
    </row>
    <row r="12" spans="1:18" x14ac:dyDescent="0.25">
      <c r="A12" s="102" t="s">
        <v>234</v>
      </c>
      <c r="B12" s="119">
        <v>700</v>
      </c>
      <c r="C12" s="102" t="s">
        <v>379</v>
      </c>
      <c r="D12" s="101">
        <f>D7*D11^2/4</f>
        <v>101093750</v>
      </c>
      <c r="I12" s="82"/>
      <c r="O12" s="149"/>
      <c r="R12" s="209"/>
    </row>
    <row r="13" spans="1:18" x14ac:dyDescent="0.25">
      <c r="A13" s="102" t="s">
        <v>361</v>
      </c>
      <c r="B13" s="82">
        <f>4*25.4</f>
        <v>101.6</v>
      </c>
      <c r="C13" s="102" t="s">
        <v>289</v>
      </c>
      <c r="D13" s="101">
        <f>D7*D11^2/12</f>
        <v>33697916.666666664</v>
      </c>
      <c r="I13" s="82"/>
      <c r="O13" s="149"/>
      <c r="R13" s="209"/>
    </row>
    <row r="14" spans="1:18" x14ac:dyDescent="0.25">
      <c r="A14" s="102" t="s">
        <v>360</v>
      </c>
      <c r="B14" s="82">
        <f>4*25.4</f>
        <v>101.6</v>
      </c>
      <c r="C14" s="102" t="s">
        <v>290</v>
      </c>
      <c r="D14" s="97">
        <f>D13</f>
        <v>33697916.666666664</v>
      </c>
      <c r="I14" s="82"/>
      <c r="O14" s="149"/>
      <c r="R14" s="209"/>
    </row>
    <row r="15" spans="1:18" x14ac:dyDescent="0.25">
      <c r="A15" s="102" t="s">
        <v>271</v>
      </c>
      <c r="B15" s="82">
        <v>0</v>
      </c>
      <c r="C15" s="114" t="s">
        <v>368</v>
      </c>
      <c r="D15" s="82"/>
      <c r="I15" s="82"/>
      <c r="O15" s="149"/>
      <c r="R15" s="209"/>
    </row>
    <row r="16" spans="1:18" x14ac:dyDescent="0.25">
      <c r="A16" s="102" t="s">
        <v>272</v>
      </c>
      <c r="B16" s="97">
        <f>B13*B14</f>
        <v>10322.56</v>
      </c>
      <c r="C16" s="115" t="s">
        <v>267</v>
      </c>
      <c r="D16" s="82"/>
      <c r="I16" s="82"/>
      <c r="O16" s="149"/>
      <c r="R16" s="209"/>
    </row>
    <row r="17" spans="1:19" x14ac:dyDescent="0.25">
      <c r="A17" s="258" t="s">
        <v>393</v>
      </c>
      <c r="B17" s="98">
        <f>B14*B13^3/12</f>
        <v>8879603.7461333331</v>
      </c>
      <c r="C17" s="116" t="s">
        <v>269</v>
      </c>
      <c r="D17" s="82">
        <v>18</v>
      </c>
      <c r="I17" s="82"/>
      <c r="O17" s="149"/>
      <c r="R17" s="209"/>
    </row>
    <row r="18" spans="1:19" x14ac:dyDescent="0.25">
      <c r="A18" s="258" t="s">
        <v>394</v>
      </c>
      <c r="B18" s="98">
        <f>B13*B14^3/12</f>
        <v>8879603.7461333331</v>
      </c>
      <c r="C18" s="116" t="s">
        <v>234</v>
      </c>
      <c r="D18" s="82">
        <v>2500</v>
      </c>
      <c r="I18" s="82"/>
      <c r="O18" s="149"/>
      <c r="R18" s="209"/>
    </row>
    <row r="19" spans="1:19" x14ac:dyDescent="0.25">
      <c r="A19" s="102" t="s">
        <v>236</v>
      </c>
      <c r="B19" s="98">
        <f>B14*B13^3*((16/3)-3.36*(B13/B14)*(1-B13^4/(12*B14^4)))</f>
        <v>240104485.29544532</v>
      </c>
      <c r="C19" s="102" t="s">
        <v>54</v>
      </c>
      <c r="D19" s="117">
        <v>200000</v>
      </c>
      <c r="I19" s="82"/>
      <c r="O19" s="149"/>
      <c r="R19" s="209"/>
    </row>
    <row r="20" spans="1:19" x14ac:dyDescent="0.25">
      <c r="A20" s="102" t="s">
        <v>337</v>
      </c>
      <c r="B20" s="97">
        <f>B18/B16</f>
        <v>860.21333333333337</v>
      </c>
      <c r="C20" s="116" t="s">
        <v>268</v>
      </c>
      <c r="D20" s="98">
        <f>PI()*D17^2/4*D19/D18</f>
        <v>20357.520395261861</v>
      </c>
      <c r="I20" s="82"/>
      <c r="O20" s="149"/>
      <c r="R20" s="209"/>
    </row>
    <row r="21" spans="1:19" ht="16.5" thickBot="1" x14ac:dyDescent="0.3">
      <c r="A21" s="239" t="s">
        <v>314</v>
      </c>
      <c r="B21" s="245">
        <f>3*B7*B18/B12^3</f>
        <v>1009.634245187172</v>
      </c>
      <c r="C21" s="239" t="s">
        <v>320</v>
      </c>
      <c r="D21" s="229">
        <v>3</v>
      </c>
      <c r="E21" s="176"/>
      <c r="F21" s="176"/>
      <c r="G21" s="176"/>
      <c r="H21" s="176"/>
      <c r="I21" s="229"/>
      <c r="J21" s="176"/>
      <c r="K21" s="176"/>
      <c r="L21" s="176"/>
      <c r="M21" s="176"/>
      <c r="O21" s="149"/>
      <c r="R21" s="209"/>
    </row>
    <row r="22" spans="1:19" ht="16.5" thickBot="1" x14ac:dyDescent="0.3">
      <c r="A22" s="374" t="s">
        <v>357</v>
      </c>
      <c r="B22" s="375"/>
      <c r="C22" s="375"/>
      <c r="D22" s="375"/>
      <c r="E22" s="375"/>
      <c r="F22" s="375"/>
      <c r="G22" s="375"/>
      <c r="H22" s="375"/>
      <c r="I22" s="375"/>
      <c r="J22" s="375"/>
      <c r="K22" s="375"/>
      <c r="L22" s="375"/>
      <c r="M22" s="376"/>
      <c r="N22" s="181"/>
      <c r="O22" s="14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v>
      </c>
      <c r="C25" s="218">
        <v>0</v>
      </c>
      <c r="G25" s="242" t="s">
        <v>185</v>
      </c>
      <c r="O25" s="209"/>
      <c r="P25" s="209"/>
      <c r="Q25" s="209"/>
      <c r="R25" s="209"/>
    </row>
    <row r="26" spans="1:19" x14ac:dyDescent="0.25">
      <c r="A26" s="217" t="s">
        <v>118</v>
      </c>
      <c r="B26" s="152">
        <f>SUM(H35:S35)+C26</f>
        <v>4000000</v>
      </c>
      <c r="C26" s="218">
        <v>0</v>
      </c>
      <c r="G26" s="82" t="s">
        <v>124</v>
      </c>
      <c r="O26" s="209"/>
      <c r="P26" s="209"/>
      <c r="Q26" s="209"/>
      <c r="R26" s="209"/>
    </row>
    <row r="27" spans="1:19" x14ac:dyDescent="0.25">
      <c r="A27" s="217" t="s">
        <v>119</v>
      </c>
      <c r="B27" s="152">
        <f>SUM(H36:S36)+C27</f>
        <v>4000000</v>
      </c>
      <c r="C27" s="218">
        <v>0</v>
      </c>
      <c r="G27" s="212" t="s">
        <v>133</v>
      </c>
      <c r="H27" s="213">
        <v>4</v>
      </c>
      <c r="O27" s="209"/>
      <c r="P27" s="209"/>
      <c r="Q27" s="209"/>
      <c r="R27" s="209"/>
    </row>
    <row r="28" spans="1:19" x14ac:dyDescent="0.25">
      <c r="A28" s="102" t="s">
        <v>115</v>
      </c>
      <c r="B28" s="107"/>
      <c r="C28" s="198"/>
      <c r="H28" s="365" t="s">
        <v>129</v>
      </c>
      <c r="I28" s="365"/>
      <c r="J28" s="365"/>
      <c r="K28" s="365"/>
      <c r="L28" s="365"/>
      <c r="M28" s="365"/>
      <c r="N28" s="365"/>
      <c r="O28" s="365"/>
      <c r="P28" s="365"/>
      <c r="Q28" s="365"/>
      <c r="R28" s="365"/>
      <c r="S28" s="365"/>
    </row>
    <row r="29" spans="1:19" x14ac:dyDescent="0.25">
      <c r="A29" s="217" t="s">
        <v>8</v>
      </c>
      <c r="B29" s="152">
        <f>SUM(H38:S38)+SUM(H42:S42)+C29</f>
        <v>10004000000</v>
      </c>
      <c r="C29" s="218">
        <v>0</v>
      </c>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20004000000</v>
      </c>
      <c r="C30" s="218">
        <v>0</v>
      </c>
      <c r="G30" s="102" t="s">
        <v>42</v>
      </c>
      <c r="H30" s="213">
        <v>50</v>
      </c>
      <c r="I30" s="213">
        <v>-50</v>
      </c>
      <c r="J30" s="213">
        <v>-50</v>
      </c>
      <c r="K30" s="213">
        <v>50</v>
      </c>
      <c r="L30" s="213">
        <v>0</v>
      </c>
      <c r="M30" s="213">
        <v>0</v>
      </c>
      <c r="N30" s="213">
        <v>0</v>
      </c>
      <c r="O30" s="213">
        <v>0</v>
      </c>
      <c r="P30" s="213">
        <v>0</v>
      </c>
      <c r="Q30" s="213">
        <v>0</v>
      </c>
      <c r="R30" s="213">
        <v>0</v>
      </c>
      <c r="S30" s="213">
        <v>0</v>
      </c>
    </row>
    <row r="31" spans="1:19" x14ac:dyDescent="0.25">
      <c r="A31" s="217" t="s">
        <v>116</v>
      </c>
      <c r="B31" s="152">
        <f>SUM(H40:S40)+SUM(H44:S44)+C31</f>
        <v>10004000000</v>
      </c>
      <c r="C31" s="218">
        <v>0</v>
      </c>
      <c r="G31" s="102" t="s">
        <v>43</v>
      </c>
      <c r="H31" s="213">
        <v>0</v>
      </c>
      <c r="I31" s="213">
        <v>0</v>
      </c>
      <c r="J31" s="213">
        <v>0</v>
      </c>
      <c r="K31" s="213">
        <v>0</v>
      </c>
      <c r="L31" s="213">
        <v>0</v>
      </c>
      <c r="M31" s="213">
        <v>0</v>
      </c>
      <c r="N31" s="213">
        <v>0</v>
      </c>
      <c r="O31" s="213">
        <v>0</v>
      </c>
      <c r="P31" s="213">
        <v>0</v>
      </c>
      <c r="Q31" s="213">
        <v>0</v>
      </c>
      <c r="R31" s="213">
        <v>0</v>
      </c>
      <c r="S31" s="213">
        <v>0</v>
      </c>
    </row>
    <row r="32" spans="1:19" x14ac:dyDescent="0.25">
      <c r="A32" s="366" t="s">
        <v>190</v>
      </c>
      <c r="B32" s="366"/>
      <c r="C32" s="366"/>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66"/>
      <c r="B33" s="366"/>
      <c r="C33" s="366"/>
      <c r="G33" s="82" t="s">
        <v>130</v>
      </c>
      <c r="H33" s="367" t="s">
        <v>378</v>
      </c>
      <c r="I33" s="367"/>
      <c r="J33" s="367"/>
      <c r="K33" s="367"/>
    </row>
    <row r="34" spans="1:19" x14ac:dyDescent="0.25">
      <c r="A34" s="366"/>
      <c r="B34" s="366"/>
      <c r="C34" s="366"/>
      <c r="G34" s="102" t="s">
        <v>117</v>
      </c>
      <c r="H34" s="142">
        <v>1000000</v>
      </c>
      <c r="I34" s="142">
        <v>1000000</v>
      </c>
      <c r="J34" s="142">
        <v>1000000</v>
      </c>
      <c r="K34" s="142">
        <v>1000000</v>
      </c>
      <c r="L34" s="213">
        <v>0</v>
      </c>
      <c r="M34" s="213">
        <v>0</v>
      </c>
      <c r="N34" s="213">
        <v>0</v>
      </c>
      <c r="O34" s="213">
        <v>0</v>
      </c>
      <c r="P34" s="213">
        <v>0</v>
      </c>
      <c r="Q34" s="213">
        <v>0</v>
      </c>
      <c r="R34" s="213">
        <v>0</v>
      </c>
      <c r="S34" s="213">
        <v>0</v>
      </c>
    </row>
    <row r="35" spans="1:19" x14ac:dyDescent="0.25">
      <c r="A35" s="220" t="s">
        <v>186</v>
      </c>
      <c r="B35" s="213"/>
      <c r="C35" s="213"/>
      <c r="G35" s="102" t="s">
        <v>118</v>
      </c>
      <c r="H35" s="142">
        <v>1000000</v>
      </c>
      <c r="I35" s="142">
        <v>1000000</v>
      </c>
      <c r="J35" s="142">
        <v>1000000</v>
      </c>
      <c r="K35" s="142">
        <v>1000000</v>
      </c>
      <c r="L35" s="213">
        <v>0</v>
      </c>
      <c r="M35" s="213">
        <v>0</v>
      </c>
      <c r="N35" s="213">
        <v>0</v>
      </c>
      <c r="O35" s="213">
        <v>0</v>
      </c>
      <c r="P35" s="213">
        <v>0</v>
      </c>
      <c r="Q35" s="213">
        <v>0</v>
      </c>
      <c r="R35" s="213">
        <v>0</v>
      </c>
      <c r="S35" s="213">
        <v>0</v>
      </c>
    </row>
    <row r="36" spans="1:19" x14ac:dyDescent="0.25">
      <c r="A36" s="81" t="s">
        <v>109</v>
      </c>
      <c r="G36" s="102" t="s">
        <v>119</v>
      </c>
      <c r="H36" s="142">
        <v>1000000</v>
      </c>
      <c r="I36" s="142">
        <v>1000000</v>
      </c>
      <c r="J36" s="142">
        <v>1000000</v>
      </c>
      <c r="K36" s="142">
        <v>1000000</v>
      </c>
      <c r="L36" s="213">
        <v>0</v>
      </c>
      <c r="M36" s="213">
        <v>0</v>
      </c>
      <c r="N36" s="213">
        <v>0</v>
      </c>
      <c r="O36" s="213">
        <v>0</v>
      </c>
      <c r="P36" s="213">
        <v>0</v>
      </c>
      <c r="Q36" s="213">
        <v>0</v>
      </c>
      <c r="R36" s="213">
        <v>0</v>
      </c>
      <c r="S36" s="213">
        <v>0</v>
      </c>
    </row>
    <row r="37" spans="1:19" x14ac:dyDescent="0.25">
      <c r="A37" s="102" t="s">
        <v>187</v>
      </c>
      <c r="B37" s="213">
        <v>0</v>
      </c>
      <c r="G37" s="82" t="s">
        <v>131</v>
      </c>
      <c r="H37" s="367"/>
      <c r="I37" s="367"/>
      <c r="J37" s="367"/>
      <c r="K37" s="367"/>
    </row>
    <row r="38" spans="1:19" x14ac:dyDescent="0.25">
      <c r="A38" s="102" t="s">
        <v>188</v>
      </c>
      <c r="B38" s="213">
        <v>0</v>
      </c>
      <c r="G38" s="102" t="s">
        <v>8</v>
      </c>
      <c r="H38" s="142">
        <v>1000000</v>
      </c>
      <c r="I38" s="142">
        <v>1000000</v>
      </c>
      <c r="J38" s="142">
        <v>1000000</v>
      </c>
      <c r="K38" s="142">
        <v>1000000</v>
      </c>
      <c r="L38" s="213">
        <v>0</v>
      </c>
      <c r="M38" s="213">
        <v>0</v>
      </c>
      <c r="N38" s="213">
        <v>0</v>
      </c>
      <c r="O38" s="213">
        <v>0</v>
      </c>
      <c r="P38" s="213">
        <v>0</v>
      </c>
      <c r="Q38" s="213">
        <v>0</v>
      </c>
      <c r="R38" s="213">
        <v>0</v>
      </c>
      <c r="S38" s="213">
        <v>0</v>
      </c>
    </row>
    <row r="39" spans="1:19" x14ac:dyDescent="0.25">
      <c r="A39" s="102" t="s">
        <v>189</v>
      </c>
      <c r="B39" s="213">
        <v>0</v>
      </c>
      <c r="G39" s="102" t="s">
        <v>120</v>
      </c>
      <c r="H39" s="142">
        <v>1000000</v>
      </c>
      <c r="I39" s="142">
        <v>1000000</v>
      </c>
      <c r="J39" s="142">
        <v>1000000</v>
      </c>
      <c r="K39" s="142">
        <v>1000000</v>
      </c>
      <c r="L39" s="213">
        <v>0</v>
      </c>
      <c r="M39" s="213">
        <v>0</v>
      </c>
      <c r="N39" s="213">
        <v>0</v>
      </c>
      <c r="O39" s="213">
        <v>0</v>
      </c>
      <c r="P39" s="213">
        <v>0</v>
      </c>
      <c r="Q39" s="213">
        <v>0</v>
      </c>
      <c r="R39" s="213">
        <v>0</v>
      </c>
      <c r="S39" s="213">
        <v>0</v>
      </c>
    </row>
    <row r="40" spans="1:19" x14ac:dyDescent="0.25">
      <c r="A40" s="149" t="s">
        <v>110</v>
      </c>
      <c r="G40" s="102" t="s">
        <v>116</v>
      </c>
      <c r="H40" s="142">
        <v>1000000</v>
      </c>
      <c r="I40" s="142">
        <v>1000000</v>
      </c>
      <c r="J40" s="142">
        <v>1000000</v>
      </c>
      <c r="K40" s="142">
        <v>1000000</v>
      </c>
      <c r="L40" s="213">
        <v>0</v>
      </c>
      <c r="M40" s="213">
        <v>0</v>
      </c>
      <c r="N40" s="213">
        <v>0</v>
      </c>
      <c r="O40" s="213">
        <v>0</v>
      </c>
      <c r="P40" s="213">
        <v>0</v>
      </c>
      <c r="Q40" s="213">
        <v>0</v>
      </c>
      <c r="R40" s="213">
        <v>0</v>
      </c>
      <c r="S40" s="213">
        <v>0</v>
      </c>
    </row>
    <row r="41" spans="1:19" x14ac:dyDescent="0.25">
      <c r="A41" s="102" t="s">
        <v>187</v>
      </c>
      <c r="B41" s="213">
        <v>0</v>
      </c>
      <c r="G41" s="82" t="s">
        <v>125</v>
      </c>
    </row>
    <row r="42" spans="1:19" x14ac:dyDescent="0.25">
      <c r="A42" s="102" t="s">
        <v>188</v>
      </c>
      <c r="B42" s="213">
        <v>0</v>
      </c>
      <c r="D42" s="87"/>
      <c r="E42" s="87"/>
      <c r="F42" s="87"/>
      <c r="G42" s="102" t="s">
        <v>8</v>
      </c>
      <c r="H42" s="152">
        <f>H35*H32^2+H36*H31^2</f>
        <v>2500000000</v>
      </c>
      <c r="I42" s="152">
        <f t="shared" ref="I42:S42" si="1">I35*I32^2+I36*I31^2</f>
        <v>2500000000</v>
      </c>
      <c r="J42" s="152">
        <f t="shared" si="1"/>
        <v>2500000000</v>
      </c>
      <c r="K42" s="152">
        <f t="shared" si="1"/>
        <v>2500000000</v>
      </c>
      <c r="L42" s="105">
        <f t="shared" si="1"/>
        <v>0</v>
      </c>
      <c r="M42" s="105">
        <f t="shared" si="1"/>
        <v>0</v>
      </c>
      <c r="N42" s="105">
        <f t="shared" si="1"/>
        <v>0</v>
      </c>
      <c r="O42" s="105">
        <f t="shared" si="1"/>
        <v>0</v>
      </c>
      <c r="P42" s="105">
        <f t="shared" si="1"/>
        <v>0</v>
      </c>
      <c r="Q42" s="105">
        <f t="shared" si="1"/>
        <v>0</v>
      </c>
      <c r="R42" s="105">
        <f t="shared" si="1"/>
        <v>0</v>
      </c>
      <c r="S42" s="105">
        <f t="shared" si="1"/>
        <v>0</v>
      </c>
    </row>
    <row r="43" spans="1:19" x14ac:dyDescent="0.25">
      <c r="A43" s="102" t="s">
        <v>189</v>
      </c>
      <c r="B43" s="213">
        <v>0</v>
      </c>
      <c r="D43" s="87"/>
      <c r="E43" s="87"/>
      <c r="F43" s="87"/>
      <c r="G43" s="102" t="s">
        <v>120</v>
      </c>
      <c r="H43" s="152">
        <f>H34*H32^2+H36*H30^2</f>
        <v>5000000000</v>
      </c>
      <c r="I43" s="152">
        <f t="shared" ref="I43:S43" si="2">I34*I32^2+I36*I30^2</f>
        <v>5000000000</v>
      </c>
      <c r="J43" s="152">
        <f t="shared" si="2"/>
        <v>5000000000</v>
      </c>
      <c r="K43" s="152">
        <f t="shared" si="2"/>
        <v>5000000000</v>
      </c>
      <c r="L43" s="105">
        <f t="shared" si="2"/>
        <v>0</v>
      </c>
      <c r="M43" s="105">
        <f t="shared" si="2"/>
        <v>0</v>
      </c>
      <c r="N43" s="105">
        <f t="shared" si="2"/>
        <v>0</v>
      </c>
      <c r="O43" s="105">
        <f t="shared" si="2"/>
        <v>0</v>
      </c>
      <c r="P43" s="105">
        <f t="shared" si="2"/>
        <v>0</v>
      </c>
      <c r="Q43" s="105">
        <f t="shared" si="2"/>
        <v>0</v>
      </c>
      <c r="R43" s="105">
        <f t="shared" si="2"/>
        <v>0</v>
      </c>
      <c r="S43" s="105">
        <f t="shared" si="2"/>
        <v>0</v>
      </c>
    </row>
    <row r="44" spans="1:19" x14ac:dyDescent="0.25">
      <c r="A44" s="214" t="s">
        <v>207</v>
      </c>
      <c r="C44" s="87"/>
      <c r="D44" s="87"/>
      <c r="E44" s="87"/>
      <c r="F44" s="87"/>
      <c r="G44" s="102" t="s">
        <v>116</v>
      </c>
      <c r="H44" s="152">
        <f>H34*H31^2+H35*H30^2</f>
        <v>2500000000</v>
      </c>
      <c r="I44" s="152">
        <f t="shared" ref="I44:S44" si="3">I34*I31^2+I35*I30^2</f>
        <v>2500000000</v>
      </c>
      <c r="J44" s="152">
        <f t="shared" si="3"/>
        <v>2500000000</v>
      </c>
      <c r="K44" s="152">
        <f t="shared" si="3"/>
        <v>2500000000</v>
      </c>
      <c r="L44" s="105">
        <f t="shared" si="3"/>
        <v>0</v>
      </c>
      <c r="M44" s="105">
        <f t="shared" si="3"/>
        <v>0</v>
      </c>
      <c r="N44" s="105">
        <f t="shared" si="3"/>
        <v>0</v>
      </c>
      <c r="O44" s="105">
        <f t="shared" si="3"/>
        <v>0</v>
      </c>
      <c r="P44" s="105">
        <f t="shared" si="3"/>
        <v>0</v>
      </c>
      <c r="Q44" s="105">
        <f t="shared" si="3"/>
        <v>0</v>
      </c>
      <c r="R44" s="105">
        <f t="shared" si="3"/>
        <v>0</v>
      </c>
      <c r="S44" s="105">
        <f t="shared" si="3"/>
        <v>0</v>
      </c>
    </row>
    <row r="45" spans="1:19" x14ac:dyDescent="0.25">
      <c r="A45" s="102" t="s">
        <v>121</v>
      </c>
      <c r="B45" s="105">
        <f>SQRT((H46^2+I46^2+J46^2+K46^2+L46^2+M46^2+N46^2+O46^2+P46^2+Q46^2+R46^2+S46^2)/H$27)</f>
        <v>5.0000000000000001E-3</v>
      </c>
      <c r="C45" s="87"/>
      <c r="D45" s="87"/>
      <c r="E45" s="87"/>
      <c r="F45" s="87"/>
      <c r="G45" s="82" t="s">
        <v>307</v>
      </c>
    </row>
    <row r="46" spans="1:19" x14ac:dyDescent="0.25">
      <c r="A46" s="102" t="s">
        <v>122</v>
      </c>
      <c r="B46" s="105">
        <f>SQRT((H47^2+I47^2+J47^2+K47^2+L47^2+M47^2+N47^2+O47^2+P47^2+Q47^2+R47^2+S47^2)/H$27)</f>
        <v>5.0000000000000001E-3</v>
      </c>
      <c r="C46" s="87"/>
      <c r="D46" s="87"/>
      <c r="E46" s="87"/>
      <c r="F46" s="87"/>
      <c r="G46" s="102" t="s">
        <v>121</v>
      </c>
      <c r="H46" s="213">
        <f t="shared" ref="H46:K48" si="4">0.005</f>
        <v>5.0000000000000001E-3</v>
      </c>
      <c r="I46" s="213">
        <f t="shared" si="4"/>
        <v>5.0000000000000001E-3</v>
      </c>
      <c r="J46" s="213">
        <f t="shared" si="4"/>
        <v>5.0000000000000001E-3</v>
      </c>
      <c r="K46" s="213">
        <f t="shared" si="4"/>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87"/>
      <c r="E47" s="87"/>
      <c r="F47" s="87"/>
      <c r="G47" s="102" t="s">
        <v>122</v>
      </c>
      <c r="H47" s="213">
        <f t="shared" si="4"/>
        <v>5.0000000000000001E-3</v>
      </c>
      <c r="I47" s="213">
        <f t="shared" si="4"/>
        <v>5.0000000000000001E-3</v>
      </c>
      <c r="J47" s="213">
        <f t="shared" si="4"/>
        <v>5.0000000000000001E-3</v>
      </c>
      <c r="K47" s="213">
        <f t="shared" si="4"/>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1.0000000000000007E-4</v>
      </c>
      <c r="G48" s="102" t="s">
        <v>123</v>
      </c>
      <c r="H48" s="213">
        <f t="shared" si="4"/>
        <v>5.0000000000000001E-3</v>
      </c>
      <c r="I48" s="213">
        <f t="shared" si="4"/>
        <v>5.0000000000000001E-3</v>
      </c>
      <c r="J48" s="213">
        <f t="shared" si="4"/>
        <v>5.0000000000000001E-3</v>
      </c>
      <c r="K48" s="213">
        <f t="shared" si="4"/>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9.9999999000000077E-5</v>
      </c>
      <c r="C49" s="87"/>
      <c r="D49" s="87"/>
      <c r="E49" s="87"/>
      <c r="F49" s="87"/>
      <c r="G49" s="82" t="s">
        <v>252</v>
      </c>
    </row>
    <row r="50" spans="1:20" x14ac:dyDescent="0.25">
      <c r="A50" s="102" t="s">
        <v>87</v>
      </c>
      <c r="B50" s="105">
        <f>SQRT((H52^2+I52^2+J52^2+K52^2+L52^2+M52^2+N52^2+O52^2+P52^2+Q52^2+R52^2+S52^2+B39^2)/H$27)</f>
        <v>1.0000000000000007E-4</v>
      </c>
      <c r="C50" s="87"/>
      <c r="D50" s="87"/>
      <c r="E50" s="87"/>
      <c r="F50" s="87"/>
      <c r="G50" s="102" t="s">
        <v>85</v>
      </c>
      <c r="H50" s="152">
        <f>H97</f>
        <v>9.9999998000000053E-5</v>
      </c>
      <c r="I50" s="152">
        <f t="shared" ref="I50:S50" si="5">I97</f>
        <v>9.9999998000000053E-5</v>
      </c>
      <c r="J50" s="152">
        <f t="shared" si="5"/>
        <v>1.0000000200000004E-4</v>
      </c>
      <c r="K50" s="152">
        <f t="shared" si="5"/>
        <v>1.0000000200000004E-4</v>
      </c>
      <c r="L50" s="152">
        <f t="shared" si="5"/>
        <v>0</v>
      </c>
      <c r="M50" s="152">
        <f t="shared" si="5"/>
        <v>0</v>
      </c>
      <c r="N50" s="152">
        <f t="shared" si="5"/>
        <v>0</v>
      </c>
      <c r="O50" s="152">
        <f t="shared" si="5"/>
        <v>0</v>
      </c>
      <c r="P50" s="152">
        <f t="shared" si="5"/>
        <v>0</v>
      </c>
      <c r="Q50" s="152">
        <f t="shared" si="5"/>
        <v>0</v>
      </c>
      <c r="R50" s="152">
        <f t="shared" si="5"/>
        <v>0</v>
      </c>
      <c r="S50" s="152">
        <f t="shared" si="5"/>
        <v>0</v>
      </c>
    </row>
    <row r="51" spans="1:20" ht="47.25" x14ac:dyDescent="0.25">
      <c r="A51" s="215" t="s">
        <v>208</v>
      </c>
      <c r="B51" s="107"/>
      <c r="C51" s="87"/>
      <c r="D51" s="87"/>
      <c r="E51" s="87"/>
      <c r="F51" s="87"/>
      <c r="G51" s="102" t="s">
        <v>86</v>
      </c>
      <c r="H51" s="152">
        <f>H101</f>
        <v>9.9999998000000053E-5</v>
      </c>
      <c r="I51" s="152">
        <f t="shared" ref="I51:S51" si="6">I101</f>
        <v>9.9999998000000053E-5</v>
      </c>
      <c r="J51" s="152">
        <f t="shared" si="6"/>
        <v>1.0000000200000004E-4</v>
      </c>
      <c r="K51" s="152">
        <f t="shared" si="6"/>
        <v>9.9999998000000053E-5</v>
      </c>
      <c r="L51" s="152">
        <f t="shared" si="6"/>
        <v>0</v>
      </c>
      <c r="M51" s="152">
        <f t="shared" si="6"/>
        <v>0</v>
      </c>
      <c r="N51" s="152">
        <f t="shared" si="6"/>
        <v>0</v>
      </c>
      <c r="O51" s="152">
        <f t="shared" si="6"/>
        <v>0</v>
      </c>
      <c r="P51" s="152">
        <f t="shared" si="6"/>
        <v>0</v>
      </c>
      <c r="Q51" s="152">
        <f t="shared" si="6"/>
        <v>0</v>
      </c>
      <c r="R51" s="152">
        <f t="shared" si="6"/>
        <v>0</v>
      </c>
      <c r="S51" s="152">
        <f t="shared" si="6"/>
        <v>0</v>
      </c>
      <c r="T51" s="83"/>
    </row>
    <row r="52" spans="1:20" x14ac:dyDescent="0.25">
      <c r="A52" s="102" t="s">
        <v>121</v>
      </c>
      <c r="B52" s="105">
        <f>SQRT((H54^2+I54^2+J54^2+K54^2+L54^2+M54^2+N54^2+O54^2+P54^2+Q54^2+R54^2+S54^2)/H$27)</f>
        <v>0</v>
      </c>
      <c r="C52" s="87"/>
      <c r="D52" s="87"/>
      <c r="E52" s="87"/>
      <c r="F52" s="87"/>
      <c r="G52" s="102" t="s">
        <v>87</v>
      </c>
      <c r="H52" s="152">
        <f>H105</f>
        <v>9.9999998000000053E-5</v>
      </c>
      <c r="I52" s="152">
        <f t="shared" ref="I52:S52" si="7">I105</f>
        <v>1.0000000200000004E-4</v>
      </c>
      <c r="J52" s="152">
        <f t="shared" si="7"/>
        <v>1.0000000200000004E-4</v>
      </c>
      <c r="K52" s="152">
        <f t="shared" si="7"/>
        <v>9.9999998000000053E-5</v>
      </c>
      <c r="L52" s="152">
        <f t="shared" si="7"/>
        <v>0</v>
      </c>
      <c r="M52" s="152">
        <f t="shared" si="7"/>
        <v>0</v>
      </c>
      <c r="N52" s="152">
        <f t="shared" si="7"/>
        <v>0</v>
      </c>
      <c r="O52" s="152">
        <f t="shared" si="7"/>
        <v>0</v>
      </c>
      <c r="P52" s="152">
        <f t="shared" si="7"/>
        <v>0</v>
      </c>
      <c r="Q52" s="152">
        <f t="shared" si="7"/>
        <v>0</v>
      </c>
      <c r="R52" s="152">
        <f t="shared" si="7"/>
        <v>0</v>
      </c>
      <c r="S52" s="152">
        <f t="shared" si="7"/>
        <v>0</v>
      </c>
    </row>
    <row r="53" spans="1:20" x14ac:dyDescent="0.25">
      <c r="A53" s="102" t="s">
        <v>122</v>
      </c>
      <c r="B53" s="105">
        <f>SQRT((H55^2+I55^2+J55^2+K55^2+L55^2+M55^2+N55^2+O55^2+P55^2+Q55^2+R55^2+S55^2)/H$27)</f>
        <v>0</v>
      </c>
      <c r="C53" s="87"/>
      <c r="D53" s="87"/>
      <c r="E53" s="87"/>
      <c r="F53" s="87"/>
      <c r="G53" s="82" t="s">
        <v>333</v>
      </c>
    </row>
    <row r="54" spans="1:20" x14ac:dyDescent="0.25">
      <c r="A54" s="102" t="s">
        <v>123</v>
      </c>
      <c r="B54" s="105">
        <f>SQRT((H56^2+I56^2+J56^2+K56^2+L56^2+M56^2+N56^2+O56^2+P56^2+Q56^2+R56^2+S56^2)/H$27)</f>
        <v>0</v>
      </c>
      <c r="C54" s="87"/>
      <c r="D54" s="87"/>
      <c r="E54" s="87"/>
      <c r="F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D56" s="216"/>
      <c r="E56" s="216"/>
      <c r="F56" s="216"/>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D57" s="154"/>
      <c r="E57" s="154"/>
      <c r="F57" s="154"/>
      <c r="G57" s="82" t="s">
        <v>253</v>
      </c>
    </row>
    <row r="58" spans="1:20" x14ac:dyDescent="0.25">
      <c r="D58" s="218"/>
      <c r="E58" s="218"/>
      <c r="F58" s="218"/>
      <c r="G58" s="102" t="s">
        <v>85</v>
      </c>
      <c r="H58" s="221">
        <f>H112</f>
        <v>0</v>
      </c>
      <c r="I58" s="221">
        <f t="shared" ref="I58:S58" si="8">I112</f>
        <v>0</v>
      </c>
      <c r="J58" s="221">
        <f t="shared" si="8"/>
        <v>0</v>
      </c>
      <c r="K58" s="221">
        <f t="shared" si="8"/>
        <v>0</v>
      </c>
      <c r="L58" s="221">
        <f t="shared" si="8"/>
        <v>0</v>
      </c>
      <c r="M58" s="221">
        <f t="shared" si="8"/>
        <v>0</v>
      </c>
      <c r="N58" s="221">
        <f t="shared" si="8"/>
        <v>0</v>
      </c>
      <c r="O58" s="221">
        <f t="shared" si="8"/>
        <v>0</v>
      </c>
      <c r="P58" s="221">
        <f t="shared" si="8"/>
        <v>0</v>
      </c>
      <c r="Q58" s="221">
        <f t="shared" si="8"/>
        <v>0</v>
      </c>
      <c r="R58" s="221">
        <f t="shared" si="8"/>
        <v>0</v>
      </c>
      <c r="S58" s="221">
        <f t="shared" si="8"/>
        <v>0</v>
      </c>
    </row>
    <row r="59" spans="1:20" x14ac:dyDescent="0.25">
      <c r="D59" s="218"/>
      <c r="E59" s="218"/>
      <c r="F59" s="218"/>
      <c r="G59" s="102" t="s">
        <v>86</v>
      </c>
      <c r="H59" s="221">
        <f>H117</f>
        <v>0</v>
      </c>
      <c r="I59" s="221">
        <f t="shared" ref="I59:S59" si="9">I117</f>
        <v>0</v>
      </c>
      <c r="J59" s="221">
        <f t="shared" si="9"/>
        <v>0</v>
      </c>
      <c r="K59" s="221">
        <f t="shared" si="9"/>
        <v>0</v>
      </c>
      <c r="L59" s="221">
        <f t="shared" si="9"/>
        <v>0</v>
      </c>
      <c r="M59" s="221">
        <f t="shared" si="9"/>
        <v>0</v>
      </c>
      <c r="N59" s="221">
        <f t="shared" si="9"/>
        <v>0</v>
      </c>
      <c r="O59" s="221">
        <f t="shared" si="9"/>
        <v>0</v>
      </c>
      <c r="P59" s="221">
        <f t="shared" si="9"/>
        <v>0</v>
      </c>
      <c r="Q59" s="221">
        <f t="shared" si="9"/>
        <v>0</v>
      </c>
      <c r="R59" s="221">
        <f t="shared" si="9"/>
        <v>0</v>
      </c>
      <c r="S59" s="221">
        <f t="shared" si="9"/>
        <v>0</v>
      </c>
    </row>
    <row r="60" spans="1:20" x14ac:dyDescent="0.25">
      <c r="D60" s="218"/>
      <c r="E60" s="218"/>
      <c r="F60" s="218"/>
      <c r="G60" s="102" t="s">
        <v>87</v>
      </c>
      <c r="H60" s="221">
        <f>H122</f>
        <v>0</v>
      </c>
      <c r="I60" s="221">
        <f t="shared" ref="I60:S60" si="10">I122</f>
        <v>0</v>
      </c>
      <c r="J60" s="221">
        <f t="shared" si="10"/>
        <v>0</v>
      </c>
      <c r="K60" s="221">
        <f t="shared" si="10"/>
        <v>0</v>
      </c>
      <c r="L60" s="221">
        <f t="shared" si="10"/>
        <v>0</v>
      </c>
      <c r="M60" s="221">
        <f t="shared" si="10"/>
        <v>0</v>
      </c>
      <c r="N60" s="221">
        <f t="shared" si="10"/>
        <v>0</v>
      </c>
      <c r="O60" s="221">
        <f t="shared" si="10"/>
        <v>0</v>
      </c>
      <c r="P60" s="221">
        <f t="shared" si="10"/>
        <v>0</v>
      </c>
      <c r="Q60" s="221">
        <f t="shared" si="10"/>
        <v>0</v>
      </c>
      <c r="R60" s="221">
        <f t="shared" si="10"/>
        <v>0</v>
      </c>
      <c r="S60" s="221">
        <f t="shared" si="10"/>
        <v>0</v>
      </c>
    </row>
    <row r="61" spans="1:20" x14ac:dyDescent="0.25">
      <c r="D61" s="198"/>
      <c r="E61" s="198"/>
      <c r="F61" s="198"/>
      <c r="G61" s="214"/>
    </row>
    <row r="62" spans="1:20" s="154" customFormat="1" x14ac:dyDescent="0.25">
      <c r="D62" s="218"/>
      <c r="E62" s="218"/>
      <c r="F62" s="218"/>
      <c r="G62" s="81"/>
      <c r="H62" s="81"/>
      <c r="I62" s="118"/>
      <c r="J62" s="118"/>
      <c r="K62" s="118"/>
      <c r="L62" s="118"/>
      <c r="M62" s="118"/>
      <c r="N62" s="118"/>
      <c r="O62" s="81"/>
    </row>
    <row r="63" spans="1:20" s="154" customFormat="1" x14ac:dyDescent="0.25">
      <c r="D63" s="218"/>
      <c r="E63" s="218"/>
      <c r="F63" s="218"/>
      <c r="G63" s="119"/>
      <c r="H63" s="344"/>
      <c r="I63" s="147"/>
      <c r="J63" s="147"/>
      <c r="K63" s="147"/>
      <c r="L63" s="147"/>
      <c r="M63" s="147"/>
      <c r="N63" s="147"/>
      <c r="O63" s="118"/>
    </row>
    <row r="64" spans="1:20" s="154" customFormat="1" x14ac:dyDescent="0.25">
      <c r="D64" s="218"/>
      <c r="E64" s="218"/>
      <c r="F64" s="218"/>
      <c r="G64" s="119"/>
      <c r="H64" s="344"/>
      <c r="I64" s="147"/>
      <c r="J64" s="147"/>
      <c r="K64" s="147"/>
      <c r="L64" s="147"/>
      <c r="M64" s="147"/>
      <c r="N64" s="147"/>
      <c r="O64" s="118"/>
    </row>
    <row r="65" spans="1:19" s="154" customFormat="1" x14ac:dyDescent="0.25">
      <c r="D65" s="219"/>
      <c r="E65" s="219"/>
      <c r="F65" s="219"/>
      <c r="G65" s="119"/>
      <c r="H65" s="344"/>
      <c r="I65" s="147"/>
      <c r="J65" s="147"/>
      <c r="K65" s="147"/>
      <c r="L65" s="147"/>
      <c r="M65" s="147"/>
      <c r="N65" s="147"/>
      <c r="O65" s="118"/>
    </row>
    <row r="66" spans="1:19" s="154" customFormat="1" x14ac:dyDescent="0.25">
      <c r="D66" s="219"/>
      <c r="E66" s="219"/>
      <c r="F66" s="219"/>
      <c r="G66" s="119"/>
      <c r="H66" s="344"/>
      <c r="I66" s="147"/>
      <c r="J66" s="147"/>
      <c r="K66" s="147"/>
      <c r="L66" s="147"/>
      <c r="M66" s="147"/>
      <c r="N66" s="147"/>
      <c r="O66" s="118"/>
      <c r="S66" s="148">
        <f>N63</f>
        <v>0</v>
      </c>
    </row>
    <row r="67" spans="1:19" s="154" customFormat="1" x14ac:dyDescent="0.25">
      <c r="D67" s="219"/>
      <c r="E67" s="219"/>
      <c r="F67" s="219"/>
      <c r="G67" s="119"/>
      <c r="H67" s="344"/>
      <c r="I67" s="147"/>
      <c r="J67" s="147"/>
      <c r="K67" s="147"/>
      <c r="L67" s="147"/>
      <c r="M67" s="147"/>
      <c r="N67" s="147"/>
      <c r="O67" s="118"/>
    </row>
    <row r="68" spans="1:19" s="154" customFormat="1" x14ac:dyDescent="0.25">
      <c r="D68" s="213"/>
      <c r="E68" s="213"/>
      <c r="F68" s="213"/>
      <c r="G68" s="119"/>
      <c r="H68" s="344"/>
      <c r="I68" s="147"/>
      <c r="J68" s="147"/>
      <c r="K68" s="147"/>
      <c r="L68" s="147"/>
      <c r="M68" s="147"/>
      <c r="N68" s="147"/>
      <c r="O68" s="118"/>
    </row>
    <row r="69" spans="1:19" s="154" customFormat="1" x14ac:dyDescent="0.25">
      <c r="D69" s="81"/>
      <c r="E69" s="81"/>
      <c r="F69" s="81"/>
      <c r="G69" s="119"/>
      <c r="H69" s="195"/>
      <c r="I69" s="222"/>
      <c r="J69" s="222"/>
      <c r="K69" s="222"/>
      <c r="L69" s="222"/>
      <c r="M69" s="222"/>
      <c r="N69" s="222"/>
      <c r="O69" s="118"/>
    </row>
    <row r="70" spans="1:19" s="154" customFormat="1" x14ac:dyDescent="0.25">
      <c r="D70" s="81"/>
      <c r="E70" s="81"/>
      <c r="F70" s="81"/>
      <c r="G70" s="119"/>
      <c r="H70" s="195"/>
      <c r="I70" s="222"/>
      <c r="J70" s="222"/>
      <c r="K70" s="222"/>
      <c r="L70" s="222"/>
      <c r="M70" s="222"/>
      <c r="N70" s="222"/>
      <c r="O70" s="118"/>
    </row>
    <row r="71" spans="1:19" s="154" customFormat="1" x14ac:dyDescent="0.25">
      <c r="D71" s="81"/>
      <c r="E71" s="81"/>
      <c r="F71" s="81"/>
      <c r="G71" s="119"/>
      <c r="H71" s="195"/>
      <c r="I71" s="222"/>
      <c r="J71" s="222"/>
      <c r="K71" s="222"/>
      <c r="L71" s="222"/>
      <c r="M71" s="222"/>
      <c r="N71" s="222"/>
      <c r="O71" s="118"/>
    </row>
    <row r="72" spans="1:19" s="154" customFormat="1" x14ac:dyDescent="0.25">
      <c r="D72" s="81"/>
      <c r="E72" s="81"/>
      <c r="F72" s="81"/>
      <c r="G72" s="119"/>
      <c r="H72" s="195"/>
      <c r="I72" s="222"/>
      <c r="J72" s="222"/>
      <c r="K72" s="222"/>
      <c r="L72" s="222"/>
      <c r="M72" s="222"/>
      <c r="N72" s="222"/>
      <c r="O72" s="118"/>
    </row>
    <row r="73" spans="1:19" s="154" customFormat="1" x14ac:dyDescent="0.25">
      <c r="D73" s="81"/>
      <c r="E73" s="81"/>
      <c r="F73" s="81"/>
      <c r="G73" s="119"/>
      <c r="H73" s="195"/>
      <c r="I73" s="222"/>
      <c r="J73" s="222"/>
      <c r="K73" s="222"/>
      <c r="L73" s="222"/>
      <c r="M73" s="222"/>
      <c r="N73" s="222"/>
      <c r="O73" s="118"/>
    </row>
    <row r="74" spans="1:19" s="154" customFormat="1" x14ac:dyDescent="0.25">
      <c r="D74" s="81"/>
      <c r="E74" s="81"/>
      <c r="F74" s="81"/>
      <c r="G74" s="119"/>
      <c r="H74" s="195"/>
      <c r="I74" s="222"/>
      <c r="J74" s="222"/>
      <c r="K74" s="222"/>
      <c r="L74" s="222"/>
      <c r="M74" s="222"/>
      <c r="N74" s="222"/>
      <c r="O74" s="118"/>
    </row>
    <row r="75" spans="1:19" s="154" customFormat="1" x14ac:dyDescent="0.25">
      <c r="D75" s="81"/>
      <c r="E75" s="81"/>
      <c r="F75" s="81"/>
      <c r="G75" s="119"/>
      <c r="H75" s="195"/>
      <c r="I75" s="222"/>
      <c r="J75" s="222"/>
      <c r="K75" s="222"/>
      <c r="L75" s="222"/>
      <c r="M75" s="222"/>
      <c r="N75" s="222"/>
      <c r="O75" s="118"/>
    </row>
    <row r="76" spans="1:19" s="154" customFormat="1" x14ac:dyDescent="0.25">
      <c r="D76" s="81"/>
      <c r="E76" s="81"/>
      <c r="F76" s="81"/>
      <c r="G76" s="119"/>
      <c r="H76" s="195"/>
      <c r="I76" s="222"/>
      <c r="J76" s="222"/>
      <c r="K76" s="222"/>
      <c r="L76" s="222"/>
      <c r="M76" s="222"/>
      <c r="N76" s="222"/>
      <c r="O76" s="118"/>
    </row>
    <row r="77" spans="1:19" s="154" customFormat="1" x14ac:dyDescent="0.25">
      <c r="A77" s="116"/>
      <c r="B77" s="209"/>
      <c r="G77" s="119"/>
      <c r="H77" s="195"/>
      <c r="I77" s="222"/>
      <c r="J77" s="222"/>
      <c r="K77" s="222"/>
      <c r="L77" s="222"/>
      <c r="M77" s="222"/>
      <c r="N77" s="222"/>
      <c r="O77" s="118"/>
    </row>
    <row r="78" spans="1:19" s="154" customFormat="1" x14ac:dyDescent="0.25">
      <c r="A78" s="116"/>
      <c r="B78" s="209"/>
      <c r="G78" s="119"/>
      <c r="H78" s="195"/>
      <c r="I78" s="222"/>
      <c r="J78" s="222"/>
      <c r="K78" s="222"/>
      <c r="L78" s="222"/>
      <c r="M78" s="222"/>
      <c r="N78" s="222"/>
      <c r="O78" s="118"/>
    </row>
    <row r="79" spans="1:19" s="154" customFormat="1" x14ac:dyDescent="0.25">
      <c r="A79" s="116"/>
      <c r="B79" s="209"/>
      <c r="G79" s="119"/>
      <c r="H79" s="195"/>
      <c r="I79" s="222"/>
      <c r="J79" s="222"/>
      <c r="K79" s="222"/>
      <c r="L79" s="222"/>
      <c r="M79" s="222"/>
      <c r="N79" s="222"/>
      <c r="O79" s="118"/>
    </row>
    <row r="80" spans="1:19" s="154" customFormat="1" x14ac:dyDescent="0.25">
      <c r="A80" s="116"/>
      <c r="B80" s="209"/>
      <c r="G80" s="119"/>
      <c r="H80" s="195"/>
      <c r="I80" s="222"/>
      <c r="J80" s="222"/>
      <c r="K80" s="222"/>
      <c r="L80" s="222"/>
      <c r="M80" s="222"/>
      <c r="N80" s="222"/>
      <c r="O80" s="118"/>
    </row>
    <row r="81" spans="1:19" s="154" customFormat="1" x14ac:dyDescent="0.25">
      <c r="A81" s="116"/>
      <c r="B81" s="209"/>
      <c r="G81" s="119"/>
      <c r="H81" s="195"/>
      <c r="I81" s="222"/>
      <c r="J81" s="222"/>
      <c r="K81" s="222"/>
      <c r="L81" s="222"/>
      <c r="M81" s="222"/>
      <c r="N81" s="222"/>
      <c r="O81" s="118"/>
    </row>
    <row r="82" spans="1:19" s="154" customFormat="1" x14ac:dyDescent="0.25">
      <c r="A82" s="116"/>
      <c r="B82" s="209"/>
      <c r="G82" s="119"/>
      <c r="H82" s="195"/>
      <c r="I82" s="222"/>
      <c r="J82" s="222"/>
      <c r="K82" s="222"/>
      <c r="L82" s="222"/>
      <c r="M82" s="222"/>
      <c r="N82" s="222"/>
      <c r="O82" s="118"/>
    </row>
    <row r="83" spans="1:19" s="154" customFormat="1" x14ac:dyDescent="0.25">
      <c r="A83" s="116"/>
      <c r="B83" s="209"/>
      <c r="G83" s="119"/>
      <c r="H83" s="195"/>
      <c r="I83" s="222"/>
      <c r="J83" s="222"/>
      <c r="K83" s="222"/>
      <c r="L83" s="222"/>
      <c r="M83" s="222"/>
      <c r="N83" s="222"/>
      <c r="O83" s="118"/>
    </row>
    <row r="84" spans="1:19" s="154" customFormat="1" x14ac:dyDescent="0.25">
      <c r="A84" s="116"/>
      <c r="B84" s="209"/>
      <c r="G84" s="119"/>
      <c r="H84" s="195"/>
      <c r="I84" s="222"/>
      <c r="J84" s="222"/>
      <c r="K84" s="222"/>
      <c r="L84" s="222"/>
      <c r="M84" s="222"/>
      <c r="N84" s="222"/>
      <c r="O84" s="118"/>
    </row>
    <row r="85" spans="1:19" s="154" customFormat="1" x14ac:dyDescent="0.25">
      <c r="A85" s="116"/>
      <c r="B85" s="209"/>
      <c r="G85" s="119"/>
      <c r="H85" s="195"/>
      <c r="I85" s="222"/>
      <c r="J85" s="222"/>
      <c r="K85" s="222"/>
      <c r="L85" s="222"/>
      <c r="M85" s="222"/>
      <c r="N85" s="222"/>
      <c r="O85" s="118"/>
    </row>
    <row r="86" spans="1:19" s="154" customFormat="1" x14ac:dyDescent="0.25">
      <c r="A86" s="116"/>
      <c r="B86" s="209"/>
      <c r="G86" s="119"/>
      <c r="H86" s="195"/>
      <c r="I86" s="222"/>
      <c r="J86" s="222"/>
      <c r="K86" s="222"/>
      <c r="L86" s="222"/>
      <c r="M86" s="222"/>
      <c r="N86" s="222"/>
      <c r="O86" s="118"/>
    </row>
    <row r="87" spans="1:19" s="154" customFormat="1" x14ac:dyDescent="0.25">
      <c r="A87" s="116"/>
      <c r="B87" s="209"/>
      <c r="G87" s="119"/>
      <c r="H87" s="195"/>
      <c r="I87" s="222"/>
      <c r="J87" s="222"/>
      <c r="K87" s="222"/>
      <c r="L87" s="222"/>
      <c r="M87" s="222"/>
      <c r="N87" s="222"/>
      <c r="O87" s="118"/>
    </row>
    <row r="88" spans="1:19" s="154" customFormat="1" x14ac:dyDescent="0.25">
      <c r="A88" s="116"/>
      <c r="B88" s="209"/>
      <c r="G88" s="119"/>
      <c r="H88" s="195"/>
      <c r="I88" s="222"/>
      <c r="J88" s="222"/>
      <c r="K88" s="222"/>
      <c r="L88" s="222"/>
      <c r="M88" s="222"/>
      <c r="N88" s="222"/>
      <c r="O88" s="118"/>
    </row>
    <row r="89" spans="1:19" s="154" customFormat="1" x14ac:dyDescent="0.25">
      <c r="A89" s="116"/>
      <c r="B89" s="209"/>
      <c r="G89" s="119"/>
      <c r="H89" s="195"/>
      <c r="I89" s="222"/>
      <c r="J89" s="222"/>
      <c r="K89" s="222"/>
      <c r="L89" s="222"/>
      <c r="M89" s="222"/>
      <c r="N89" s="222"/>
      <c r="O89" s="118"/>
    </row>
    <row r="90" spans="1:19" s="154" customFormat="1" x14ac:dyDescent="0.25">
      <c r="A90" s="116"/>
      <c r="B90" s="209"/>
    </row>
    <row r="91" spans="1:19" s="154" customFormat="1" x14ac:dyDescent="0.25">
      <c r="A91" s="116"/>
      <c r="B91" s="209"/>
    </row>
    <row r="92" spans="1:19" x14ac:dyDescent="0.25">
      <c r="A92" s="116"/>
      <c r="B92" s="209"/>
      <c r="C92" s="154"/>
      <c r="D92" s="154"/>
      <c r="E92" s="154"/>
      <c r="F92" s="154"/>
    </row>
    <row r="93" spans="1:19" x14ac:dyDescent="0.25">
      <c r="A93" s="116"/>
      <c r="B93" s="209"/>
      <c r="C93" s="154"/>
      <c r="D93" s="154"/>
      <c r="E93" s="154"/>
      <c r="F93" s="154"/>
      <c r="G93" s="223" t="s">
        <v>260</v>
      </c>
    </row>
    <row r="94" spans="1:19" x14ac:dyDescent="0.25">
      <c r="A94" s="116"/>
      <c r="B94" s="209"/>
      <c r="C94" s="154"/>
      <c r="D94" s="154"/>
      <c r="E94" s="154"/>
      <c r="F94" s="154"/>
      <c r="G94" s="211"/>
      <c r="H94" s="149" t="s">
        <v>261</v>
      </c>
    </row>
    <row r="95" spans="1:19" x14ac:dyDescent="0.25">
      <c r="A95" s="116"/>
      <c r="B95" s="209"/>
      <c r="C95" s="154"/>
      <c r="D95" s="154"/>
      <c r="E95" s="154"/>
      <c r="F95" s="154"/>
      <c r="G95" s="149" t="s">
        <v>259</v>
      </c>
      <c r="H95" s="81">
        <f t="shared" ref="H95:S95" si="11">H47/ABS(H32+0.000001)</f>
        <v>9.9999998000000053E-5</v>
      </c>
      <c r="I95" s="81">
        <f t="shared" si="11"/>
        <v>9.9999998000000053E-5</v>
      </c>
      <c r="J95" s="81">
        <f t="shared" si="11"/>
        <v>1.0000000200000004E-4</v>
      </c>
      <c r="K95" s="81">
        <f t="shared" si="11"/>
        <v>1.0000000200000004E-4</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x14ac:dyDescent="0.25">
      <c r="A96" s="116"/>
      <c r="B96" s="209"/>
      <c r="C96" s="154"/>
      <c r="D96" s="154"/>
      <c r="E96" s="154"/>
      <c r="F96" s="154"/>
      <c r="G96" s="149" t="s">
        <v>259</v>
      </c>
      <c r="H96" s="81">
        <f t="shared" ref="H96:S96" si="12">H48/ABS(H31+0.000001)</f>
        <v>5000</v>
      </c>
      <c r="I96" s="81">
        <f t="shared" si="12"/>
        <v>5000</v>
      </c>
      <c r="J96" s="81">
        <f t="shared" si="12"/>
        <v>5000</v>
      </c>
      <c r="K96" s="81">
        <f t="shared" si="12"/>
        <v>5000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x14ac:dyDescent="0.25">
      <c r="A97" s="116"/>
      <c r="B97" s="209"/>
      <c r="C97" s="154"/>
      <c r="D97" s="154"/>
      <c r="E97" s="154"/>
      <c r="F97" s="154"/>
      <c r="G97" s="81" t="s">
        <v>257</v>
      </c>
      <c r="H97" s="224">
        <f>IF(MIN(H95,H96)&gt;1,0,MIN(H95,H96))</f>
        <v>9.9999998000000053E-5</v>
      </c>
      <c r="I97" s="224">
        <f t="shared" ref="I97:S97" si="13">IF(MIN(I95,I96)&gt;1,0,MIN(I95,I96))</f>
        <v>9.9999998000000053E-5</v>
      </c>
      <c r="J97" s="224">
        <f t="shared" si="13"/>
        <v>1.0000000200000004E-4</v>
      </c>
      <c r="K97" s="224">
        <f t="shared" si="13"/>
        <v>1.0000000200000004E-4</v>
      </c>
      <c r="L97" s="224">
        <f t="shared" si="13"/>
        <v>0</v>
      </c>
      <c r="M97" s="224">
        <f t="shared" si="13"/>
        <v>0</v>
      </c>
      <c r="N97" s="224">
        <f t="shared" si="13"/>
        <v>0</v>
      </c>
      <c r="O97" s="224">
        <f t="shared" si="13"/>
        <v>0</v>
      </c>
      <c r="P97" s="224">
        <f t="shared" si="13"/>
        <v>0</v>
      </c>
      <c r="Q97" s="224">
        <f t="shared" si="13"/>
        <v>0</v>
      </c>
      <c r="R97" s="224">
        <f t="shared" si="13"/>
        <v>0</v>
      </c>
      <c r="S97" s="224">
        <f t="shared" si="13"/>
        <v>0</v>
      </c>
    </row>
    <row r="98" spans="1:19" x14ac:dyDescent="0.25">
      <c r="A98" s="116"/>
      <c r="B98" s="209"/>
      <c r="C98" s="154"/>
      <c r="D98" s="154"/>
      <c r="E98" s="154"/>
      <c r="F98" s="154"/>
      <c r="H98" s="149" t="s">
        <v>262</v>
      </c>
      <c r="I98" s="149"/>
      <c r="J98" s="149"/>
      <c r="K98" s="149"/>
      <c r="L98" s="149"/>
      <c r="M98" s="149"/>
      <c r="N98" s="149"/>
      <c r="O98" s="149"/>
      <c r="P98" s="149"/>
      <c r="Q98" s="149"/>
      <c r="R98" s="149"/>
      <c r="S98" s="149"/>
    </row>
    <row r="99" spans="1:19" x14ac:dyDescent="0.25">
      <c r="A99" s="116"/>
      <c r="B99" s="209"/>
      <c r="C99" s="154"/>
      <c r="D99" s="154"/>
      <c r="E99" s="154"/>
      <c r="F99" s="154"/>
      <c r="G99" s="115" t="s">
        <v>259</v>
      </c>
      <c r="H99" s="154">
        <f t="shared" ref="H99:S99" si="14">H48/ABS(H30+0.000001)</f>
        <v>9.9999998000000053E-5</v>
      </c>
      <c r="I99" s="154">
        <f t="shared" si="14"/>
        <v>1.0000000200000004E-4</v>
      </c>
      <c r="J99" s="154">
        <f t="shared" si="14"/>
        <v>1.0000000200000004E-4</v>
      </c>
      <c r="K99" s="154">
        <f t="shared" si="14"/>
        <v>9.9999998000000053E-5</v>
      </c>
      <c r="L99" s="154">
        <f t="shared" si="14"/>
        <v>0</v>
      </c>
      <c r="M99" s="154">
        <f t="shared" si="14"/>
        <v>0</v>
      </c>
      <c r="N99" s="154">
        <f t="shared" si="14"/>
        <v>0</v>
      </c>
      <c r="O99" s="154">
        <f t="shared" si="14"/>
        <v>0</v>
      </c>
      <c r="P99" s="154">
        <f t="shared" si="14"/>
        <v>0</v>
      </c>
      <c r="Q99" s="154">
        <f t="shared" si="14"/>
        <v>0</v>
      </c>
      <c r="R99" s="154">
        <f t="shared" si="14"/>
        <v>0</v>
      </c>
      <c r="S99" s="154">
        <f t="shared" si="14"/>
        <v>0</v>
      </c>
    </row>
    <row r="100" spans="1:19" x14ac:dyDescent="0.25">
      <c r="A100" s="116"/>
      <c r="B100" s="209"/>
      <c r="C100" s="154"/>
      <c r="D100" s="154"/>
      <c r="E100" s="154"/>
      <c r="F100" s="154"/>
      <c r="G100" s="115" t="s">
        <v>259</v>
      </c>
      <c r="H100" s="225">
        <f t="shared" ref="H100:S100" si="15">H46/ABS(H32+0.000001)</f>
        <v>9.9999998000000053E-5</v>
      </c>
      <c r="I100" s="225">
        <f t="shared" si="15"/>
        <v>9.9999998000000053E-5</v>
      </c>
      <c r="J100" s="225">
        <f t="shared" si="15"/>
        <v>1.0000000200000004E-4</v>
      </c>
      <c r="K100" s="225">
        <f t="shared" si="15"/>
        <v>1.0000000200000004E-4</v>
      </c>
      <c r="L100" s="225">
        <f t="shared" si="15"/>
        <v>0</v>
      </c>
      <c r="M100" s="225">
        <f t="shared" si="15"/>
        <v>0</v>
      </c>
      <c r="N100" s="225">
        <f t="shared" si="15"/>
        <v>0</v>
      </c>
      <c r="O100" s="225">
        <f t="shared" si="15"/>
        <v>0</v>
      </c>
      <c r="P100" s="225">
        <f t="shared" si="15"/>
        <v>0</v>
      </c>
      <c r="Q100" s="225">
        <f t="shared" si="15"/>
        <v>0</v>
      </c>
      <c r="R100" s="225">
        <f t="shared" si="15"/>
        <v>0</v>
      </c>
      <c r="S100" s="225">
        <f t="shared" si="15"/>
        <v>0</v>
      </c>
    </row>
    <row r="101" spans="1:19" x14ac:dyDescent="0.25">
      <c r="A101" s="116"/>
      <c r="B101" s="209"/>
      <c r="C101" s="154"/>
      <c r="D101" s="154"/>
      <c r="E101" s="154"/>
      <c r="F101" s="154"/>
      <c r="G101" s="81" t="s">
        <v>257</v>
      </c>
      <c r="H101" s="224">
        <f>IF(MIN(H99,H100)&gt;1,0,MIN(H99,H100))</f>
        <v>9.9999998000000053E-5</v>
      </c>
      <c r="I101" s="224">
        <f t="shared" ref="I101:S101" si="16">IF(MIN(I99,I100)&gt;1,0,MIN(I99,I100))</f>
        <v>9.9999998000000053E-5</v>
      </c>
      <c r="J101" s="224">
        <f t="shared" si="16"/>
        <v>1.0000000200000004E-4</v>
      </c>
      <c r="K101" s="224">
        <f t="shared" si="16"/>
        <v>9.9999998000000053E-5</v>
      </c>
      <c r="L101" s="224">
        <f t="shared" si="16"/>
        <v>0</v>
      </c>
      <c r="M101" s="224">
        <f t="shared" si="16"/>
        <v>0</v>
      </c>
      <c r="N101" s="224">
        <f t="shared" si="16"/>
        <v>0</v>
      </c>
      <c r="O101" s="224">
        <f t="shared" si="16"/>
        <v>0</v>
      </c>
      <c r="P101" s="224">
        <f t="shared" si="16"/>
        <v>0</v>
      </c>
      <c r="Q101" s="224">
        <f t="shared" si="16"/>
        <v>0</v>
      </c>
      <c r="R101" s="224">
        <f t="shared" si="16"/>
        <v>0</v>
      </c>
      <c r="S101" s="224">
        <f t="shared" si="16"/>
        <v>0</v>
      </c>
    </row>
    <row r="102" spans="1:19" x14ac:dyDescent="0.25">
      <c r="A102" s="116"/>
      <c r="B102" s="209"/>
      <c r="C102" s="154"/>
      <c r="D102" s="154"/>
      <c r="E102" s="154"/>
      <c r="F102" s="154"/>
      <c r="H102" s="81" t="s">
        <v>263</v>
      </c>
    </row>
    <row r="103" spans="1:19" x14ac:dyDescent="0.25">
      <c r="A103" s="116"/>
      <c r="B103" s="209"/>
      <c r="C103" s="154"/>
      <c r="D103" s="154"/>
      <c r="E103" s="154"/>
      <c r="F103" s="154"/>
      <c r="G103" s="149" t="s">
        <v>259</v>
      </c>
      <c r="H103" s="81">
        <f t="shared" ref="H103:S103" si="17">H47/ABS(H30+0.000001)</f>
        <v>9.9999998000000053E-5</v>
      </c>
      <c r="I103" s="81">
        <f t="shared" si="17"/>
        <v>1.0000000200000004E-4</v>
      </c>
      <c r="J103" s="81">
        <f t="shared" si="17"/>
        <v>1.0000000200000004E-4</v>
      </c>
      <c r="K103" s="81">
        <f t="shared" si="17"/>
        <v>9.9999998000000053E-5</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x14ac:dyDescent="0.25">
      <c r="A104" s="116"/>
      <c r="B104" s="209"/>
      <c r="C104" s="154"/>
      <c r="D104" s="154"/>
      <c r="E104" s="154"/>
      <c r="F104" s="154"/>
      <c r="G104" s="149" t="s">
        <v>259</v>
      </c>
      <c r="H104" s="81">
        <f t="shared" ref="H104:S104" si="18">H46/ABS(H31+0.000001)</f>
        <v>5000</v>
      </c>
      <c r="I104" s="81">
        <f t="shared" si="18"/>
        <v>5000</v>
      </c>
      <c r="J104" s="81">
        <f t="shared" si="18"/>
        <v>5000</v>
      </c>
      <c r="K104" s="81">
        <f t="shared" si="18"/>
        <v>5000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x14ac:dyDescent="0.25">
      <c r="A105" s="116"/>
      <c r="B105" s="209"/>
      <c r="C105" s="154"/>
      <c r="D105" s="154"/>
      <c r="E105" s="154"/>
      <c r="F105" s="154"/>
      <c r="G105" s="81" t="s">
        <v>257</v>
      </c>
      <c r="H105" s="224">
        <f>IF(MIN(H103,H104)&gt;1,0,MIN(H103,H104))</f>
        <v>9.9999998000000053E-5</v>
      </c>
      <c r="I105" s="224">
        <f t="shared" ref="I105:S105" si="19">IF(MIN(I103,I104)&gt;1,0,MIN(I103,I104))</f>
        <v>1.0000000200000004E-4</v>
      </c>
      <c r="J105" s="224">
        <f t="shared" si="19"/>
        <v>1.0000000200000004E-4</v>
      </c>
      <c r="K105" s="224">
        <f t="shared" si="19"/>
        <v>9.9999998000000053E-5</v>
      </c>
      <c r="L105" s="224">
        <f t="shared" si="19"/>
        <v>0</v>
      </c>
      <c r="M105" s="224">
        <f t="shared" si="19"/>
        <v>0</v>
      </c>
      <c r="N105" s="224">
        <f t="shared" si="19"/>
        <v>0</v>
      </c>
      <c r="O105" s="224">
        <f t="shared" si="19"/>
        <v>0</v>
      </c>
      <c r="P105" s="224">
        <f t="shared" si="19"/>
        <v>0</v>
      </c>
      <c r="Q105" s="224">
        <f t="shared" si="19"/>
        <v>0</v>
      </c>
      <c r="R105" s="224">
        <f t="shared" si="19"/>
        <v>0</v>
      </c>
      <c r="S105" s="224">
        <f t="shared" si="19"/>
        <v>0</v>
      </c>
    </row>
    <row r="106" spans="1:19" x14ac:dyDescent="0.25">
      <c r="A106" s="116"/>
      <c r="B106" s="209"/>
      <c r="C106" s="154"/>
      <c r="D106" s="154"/>
      <c r="E106" s="154"/>
      <c r="F106" s="154"/>
    </row>
    <row r="107" spans="1:19" x14ac:dyDescent="0.25">
      <c r="G107" s="223" t="s">
        <v>308</v>
      </c>
      <c r="H107" s="223"/>
      <c r="I107" s="223"/>
      <c r="J107" s="223"/>
      <c r="K107" s="223"/>
      <c r="L107" s="223"/>
      <c r="M107" s="223"/>
      <c r="N107" s="223"/>
      <c r="O107" s="223"/>
      <c r="P107" s="223"/>
    </row>
    <row r="108" spans="1:19" x14ac:dyDescent="0.25">
      <c r="H108" s="102" t="s">
        <v>254</v>
      </c>
      <c r="I108" s="102"/>
      <c r="J108" s="102"/>
      <c r="K108" s="102"/>
      <c r="L108" s="102"/>
      <c r="M108" s="102"/>
      <c r="N108" s="102"/>
      <c r="O108" s="102"/>
      <c r="P108" s="102"/>
      <c r="Q108" s="102"/>
      <c r="R108" s="102"/>
      <c r="S108" s="102"/>
    </row>
    <row r="109" spans="1:19" x14ac:dyDescent="0.25">
      <c r="G109" s="149" t="s">
        <v>259</v>
      </c>
      <c r="H109" s="224">
        <f t="shared" ref="H109:S109" si="20">H55/(H32+0.000001)</f>
        <v>0</v>
      </c>
      <c r="I109" s="224">
        <f t="shared" si="20"/>
        <v>0</v>
      </c>
      <c r="J109" s="224">
        <f t="shared" si="20"/>
        <v>0</v>
      </c>
      <c r="K109" s="224">
        <f t="shared" si="20"/>
        <v>0</v>
      </c>
      <c r="L109" s="224">
        <f t="shared" si="20"/>
        <v>0</v>
      </c>
      <c r="M109" s="224">
        <f t="shared" si="20"/>
        <v>0</v>
      </c>
      <c r="N109" s="224">
        <f t="shared" si="20"/>
        <v>0</v>
      </c>
      <c r="O109" s="224">
        <f t="shared" si="20"/>
        <v>0</v>
      </c>
      <c r="P109" s="224">
        <f t="shared" si="20"/>
        <v>0</v>
      </c>
      <c r="Q109" s="224">
        <f t="shared" si="20"/>
        <v>0</v>
      </c>
      <c r="R109" s="224">
        <f t="shared" si="20"/>
        <v>0</v>
      </c>
      <c r="S109" s="224">
        <f t="shared" si="20"/>
        <v>0</v>
      </c>
    </row>
    <row r="110" spans="1:19" x14ac:dyDescent="0.25">
      <c r="G110" s="149" t="s">
        <v>259</v>
      </c>
      <c r="H110" s="226">
        <f t="shared" ref="H110:S110" si="21">H56/(H31+0.000001)</f>
        <v>0</v>
      </c>
      <c r="I110" s="226">
        <f t="shared" si="21"/>
        <v>0</v>
      </c>
      <c r="J110" s="226">
        <f t="shared" si="21"/>
        <v>0</v>
      </c>
      <c r="K110" s="226">
        <f t="shared" si="21"/>
        <v>0</v>
      </c>
      <c r="L110" s="226">
        <f t="shared" si="21"/>
        <v>0</v>
      </c>
      <c r="M110" s="226">
        <f t="shared" si="21"/>
        <v>0</v>
      </c>
      <c r="N110" s="226">
        <f t="shared" si="21"/>
        <v>0</v>
      </c>
      <c r="O110" s="226">
        <f t="shared" si="21"/>
        <v>0</v>
      </c>
      <c r="P110" s="226">
        <f t="shared" si="21"/>
        <v>0</v>
      </c>
      <c r="Q110" s="226">
        <f t="shared" si="21"/>
        <v>0</v>
      </c>
      <c r="R110" s="226">
        <f t="shared" si="21"/>
        <v>0</v>
      </c>
      <c r="S110" s="226">
        <f t="shared" si="21"/>
        <v>0</v>
      </c>
    </row>
    <row r="111" spans="1:19" x14ac:dyDescent="0.25">
      <c r="G111" s="81" t="s">
        <v>258</v>
      </c>
      <c r="H111" s="144">
        <f>SIGN(H109+0.000000000001)*SIGN(H110+0.000000000001)</f>
        <v>1</v>
      </c>
      <c r="I111" s="144">
        <f t="shared" ref="I111:S111" si="22">SIGN(I109+0.000000000001)*SIGN(I110+0.000000000001)</f>
        <v>1</v>
      </c>
      <c r="J111" s="144">
        <f t="shared" si="22"/>
        <v>1</v>
      </c>
      <c r="K111" s="144">
        <f t="shared" si="22"/>
        <v>1</v>
      </c>
      <c r="L111" s="144">
        <f t="shared" si="22"/>
        <v>1</v>
      </c>
      <c r="M111" s="144">
        <f t="shared" si="22"/>
        <v>1</v>
      </c>
      <c r="N111" s="144">
        <f t="shared" si="22"/>
        <v>1</v>
      </c>
      <c r="O111" s="144">
        <f t="shared" si="22"/>
        <v>1</v>
      </c>
      <c r="P111" s="144">
        <f t="shared" si="22"/>
        <v>1</v>
      </c>
      <c r="Q111" s="144">
        <f t="shared" si="22"/>
        <v>1</v>
      </c>
      <c r="R111" s="144">
        <f t="shared" si="22"/>
        <v>1</v>
      </c>
      <c r="S111" s="144">
        <f t="shared" si="22"/>
        <v>1</v>
      </c>
    </row>
    <row r="112" spans="1:19" x14ac:dyDescent="0.25">
      <c r="G112" s="81" t="s">
        <v>257</v>
      </c>
      <c r="H112" s="224">
        <f>IF(H111*MIN(ABS(H109),ABS(H110))&gt;1,0,H111*MIN(ABS(H109),ABS(H110)))</f>
        <v>0</v>
      </c>
      <c r="I112" s="224">
        <f t="shared" ref="I112:S112" si="23">IF(I111*MIN(ABS(I109),ABS(I110))&gt;1,0,I111*MIN(ABS(I109),ABS(I110)))</f>
        <v>0</v>
      </c>
      <c r="J112" s="224">
        <f t="shared" si="23"/>
        <v>0</v>
      </c>
      <c r="K112" s="224">
        <f t="shared" si="23"/>
        <v>0</v>
      </c>
      <c r="L112" s="224">
        <f t="shared" si="23"/>
        <v>0</v>
      </c>
      <c r="M112" s="224">
        <f t="shared" si="23"/>
        <v>0</v>
      </c>
      <c r="N112" s="224">
        <f t="shared" si="23"/>
        <v>0</v>
      </c>
      <c r="O112" s="224">
        <f t="shared" si="23"/>
        <v>0</v>
      </c>
      <c r="P112" s="224">
        <f t="shared" si="23"/>
        <v>0</v>
      </c>
      <c r="Q112" s="224">
        <f t="shared" si="23"/>
        <v>0</v>
      </c>
      <c r="R112" s="224">
        <f t="shared" si="23"/>
        <v>0</v>
      </c>
      <c r="S112" s="224">
        <f t="shared" si="23"/>
        <v>0</v>
      </c>
    </row>
    <row r="113" spans="7:19" x14ac:dyDescent="0.25">
      <c r="H113" s="102" t="s">
        <v>255</v>
      </c>
      <c r="I113" s="102"/>
      <c r="J113" s="102"/>
      <c r="K113" s="102"/>
      <c r="L113" s="102"/>
      <c r="M113" s="102"/>
      <c r="N113" s="102"/>
      <c r="O113" s="102"/>
      <c r="P113" s="102"/>
      <c r="Q113" s="102"/>
      <c r="R113" s="102"/>
      <c r="S113" s="102"/>
    </row>
    <row r="114" spans="7:19" x14ac:dyDescent="0.25">
      <c r="G114" s="115" t="s">
        <v>259</v>
      </c>
      <c r="H114" s="154">
        <f t="shared" ref="H114:S114" si="24">-H56/(H30+0.000001)</f>
        <v>0</v>
      </c>
      <c r="I114" s="154">
        <f t="shared" si="24"/>
        <v>0</v>
      </c>
      <c r="J114" s="154">
        <f t="shared" si="24"/>
        <v>0</v>
      </c>
      <c r="K114" s="154">
        <f t="shared" si="24"/>
        <v>0</v>
      </c>
      <c r="L114" s="154">
        <f t="shared" si="24"/>
        <v>0</v>
      </c>
      <c r="M114" s="154">
        <f t="shared" si="24"/>
        <v>0</v>
      </c>
      <c r="N114" s="154">
        <f t="shared" si="24"/>
        <v>0</v>
      </c>
      <c r="O114" s="154">
        <f t="shared" si="24"/>
        <v>0</v>
      </c>
      <c r="P114" s="154">
        <f t="shared" si="24"/>
        <v>0</v>
      </c>
      <c r="Q114" s="154">
        <f t="shared" si="24"/>
        <v>0</v>
      </c>
      <c r="R114" s="154">
        <f t="shared" si="24"/>
        <v>0</v>
      </c>
      <c r="S114" s="154">
        <f t="shared" si="24"/>
        <v>0</v>
      </c>
    </row>
    <row r="115" spans="7:19" x14ac:dyDescent="0.25">
      <c r="G115" s="115" t="s">
        <v>259</v>
      </c>
      <c r="H115" s="154">
        <f t="shared" ref="H115:S115" si="25">H54/(H32+0.000001)</f>
        <v>0</v>
      </c>
      <c r="I115" s="154">
        <f t="shared" si="25"/>
        <v>0</v>
      </c>
      <c r="J115" s="154">
        <f t="shared" si="25"/>
        <v>0</v>
      </c>
      <c r="K115" s="154">
        <f t="shared" si="25"/>
        <v>0</v>
      </c>
      <c r="L115" s="154">
        <f t="shared" si="25"/>
        <v>0</v>
      </c>
      <c r="M115" s="154">
        <f t="shared" si="25"/>
        <v>0</v>
      </c>
      <c r="N115" s="154">
        <f t="shared" si="25"/>
        <v>0</v>
      </c>
      <c r="O115" s="154">
        <f t="shared" si="25"/>
        <v>0</v>
      </c>
      <c r="P115" s="154">
        <f t="shared" si="25"/>
        <v>0</v>
      </c>
      <c r="Q115" s="154">
        <f t="shared" si="25"/>
        <v>0</v>
      </c>
      <c r="R115" s="154">
        <f t="shared" si="25"/>
        <v>0</v>
      </c>
      <c r="S115" s="154">
        <f t="shared" si="25"/>
        <v>0</v>
      </c>
    </row>
    <row r="116" spans="7:19" x14ac:dyDescent="0.25">
      <c r="G116" s="154" t="s">
        <v>258</v>
      </c>
      <c r="H116" s="227">
        <f>SIGN(H114+0.000000000001)*SIGN(H115+0.000000000001)</f>
        <v>1</v>
      </c>
      <c r="I116" s="227">
        <f t="shared" ref="I116:S116" si="26">SIGN(I114+0.000000000001)*SIGN(I115+0.000000000001)</f>
        <v>1</v>
      </c>
      <c r="J116" s="227">
        <f t="shared" si="26"/>
        <v>1</v>
      </c>
      <c r="K116" s="227">
        <f t="shared" si="26"/>
        <v>1</v>
      </c>
      <c r="L116" s="227">
        <f t="shared" si="26"/>
        <v>1</v>
      </c>
      <c r="M116" s="227">
        <f t="shared" si="26"/>
        <v>1</v>
      </c>
      <c r="N116" s="227">
        <f t="shared" si="26"/>
        <v>1</v>
      </c>
      <c r="O116" s="227">
        <f t="shared" si="26"/>
        <v>1</v>
      </c>
      <c r="P116" s="227">
        <f t="shared" si="26"/>
        <v>1</v>
      </c>
      <c r="Q116" s="227">
        <f t="shared" si="26"/>
        <v>1</v>
      </c>
      <c r="R116" s="227">
        <f t="shared" si="26"/>
        <v>1</v>
      </c>
      <c r="S116" s="227">
        <f t="shared" si="26"/>
        <v>1</v>
      </c>
    </row>
    <row r="117" spans="7:19" x14ac:dyDescent="0.25">
      <c r="G117" s="154" t="s">
        <v>257</v>
      </c>
      <c r="H117" s="228">
        <f>IF(H116*MIN(ABS(H114),ABS(H115))&gt;1,0,H116*MIN(ABS(H114),ABS(H115)))</f>
        <v>0</v>
      </c>
      <c r="I117" s="228">
        <f t="shared" ref="I117:S117" si="27">IF(I116*MIN(ABS(I114),ABS(I115))&gt;1,0,I116*MIN(ABS(I114),ABS(I115)))</f>
        <v>0</v>
      </c>
      <c r="J117" s="228">
        <f t="shared" si="27"/>
        <v>0</v>
      </c>
      <c r="K117" s="228">
        <f t="shared" si="27"/>
        <v>0</v>
      </c>
      <c r="L117" s="228">
        <f t="shared" si="27"/>
        <v>0</v>
      </c>
      <c r="M117" s="228">
        <f t="shared" si="27"/>
        <v>0</v>
      </c>
      <c r="N117" s="228">
        <f t="shared" si="27"/>
        <v>0</v>
      </c>
      <c r="O117" s="228">
        <f t="shared" si="27"/>
        <v>0</v>
      </c>
      <c r="P117" s="228">
        <f t="shared" si="27"/>
        <v>0</v>
      </c>
      <c r="Q117" s="228">
        <f t="shared" si="27"/>
        <v>0</v>
      </c>
      <c r="R117" s="228">
        <f t="shared" si="27"/>
        <v>0</v>
      </c>
      <c r="S117" s="228">
        <f t="shared" si="27"/>
        <v>0</v>
      </c>
    </row>
    <row r="118" spans="7:19" x14ac:dyDescent="0.25">
      <c r="H118" s="102" t="s">
        <v>256</v>
      </c>
      <c r="I118" s="102"/>
      <c r="J118" s="102"/>
      <c r="K118" s="102"/>
      <c r="L118" s="102"/>
      <c r="M118" s="102"/>
      <c r="N118" s="102"/>
      <c r="O118" s="102"/>
      <c r="P118" s="102"/>
      <c r="Q118" s="102"/>
      <c r="R118" s="102"/>
      <c r="S118" s="102"/>
    </row>
    <row r="119" spans="7:19" x14ac:dyDescent="0.25">
      <c r="G119" s="149" t="s">
        <v>259</v>
      </c>
      <c r="H119" s="224">
        <f t="shared" ref="H119:S119" si="28">H55/(H30+0.000001)</f>
        <v>0</v>
      </c>
      <c r="I119" s="224">
        <f t="shared" si="28"/>
        <v>0</v>
      </c>
      <c r="J119" s="224">
        <f t="shared" si="28"/>
        <v>0</v>
      </c>
      <c r="K119" s="224">
        <f t="shared" si="28"/>
        <v>0</v>
      </c>
      <c r="L119" s="224">
        <f t="shared" si="28"/>
        <v>0</v>
      </c>
      <c r="M119" s="224">
        <f t="shared" si="28"/>
        <v>0</v>
      </c>
      <c r="N119" s="224">
        <f t="shared" si="28"/>
        <v>0</v>
      </c>
      <c r="O119" s="224">
        <f t="shared" si="28"/>
        <v>0</v>
      </c>
      <c r="P119" s="224">
        <f t="shared" si="28"/>
        <v>0</v>
      </c>
      <c r="Q119" s="224">
        <f t="shared" si="28"/>
        <v>0</v>
      </c>
      <c r="R119" s="224">
        <f t="shared" si="28"/>
        <v>0</v>
      </c>
      <c r="S119" s="224">
        <f t="shared" si="28"/>
        <v>0</v>
      </c>
    </row>
    <row r="120" spans="7:19" x14ac:dyDescent="0.25">
      <c r="G120" s="149" t="s">
        <v>259</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x14ac:dyDescent="0.25">
      <c r="G121" s="81" t="s">
        <v>258</v>
      </c>
      <c r="H121" s="144">
        <f>SIGN(H119+0.000000000001)*SIGN(H120+0.000000000001)</f>
        <v>1</v>
      </c>
      <c r="I121" s="144">
        <f t="shared" ref="I121:S121" si="30">SIGN(I119+0.000000000001)*SIGN(I120+0.000000000001)</f>
        <v>1</v>
      </c>
      <c r="J121" s="144">
        <f t="shared" si="30"/>
        <v>1</v>
      </c>
      <c r="K121" s="144">
        <f t="shared" si="30"/>
        <v>1</v>
      </c>
      <c r="L121" s="144">
        <f t="shared" si="30"/>
        <v>1</v>
      </c>
      <c r="M121" s="144">
        <f t="shared" si="30"/>
        <v>1</v>
      </c>
      <c r="N121" s="144">
        <f t="shared" si="30"/>
        <v>1</v>
      </c>
      <c r="O121" s="144">
        <f t="shared" si="30"/>
        <v>1</v>
      </c>
      <c r="P121" s="144">
        <f t="shared" si="30"/>
        <v>1</v>
      </c>
      <c r="Q121" s="144">
        <f t="shared" si="30"/>
        <v>1</v>
      </c>
      <c r="R121" s="144">
        <f t="shared" si="30"/>
        <v>1</v>
      </c>
      <c r="S121" s="144">
        <f t="shared" si="30"/>
        <v>1</v>
      </c>
    </row>
    <row r="122" spans="7:19" x14ac:dyDescent="0.25">
      <c r="G122" s="81" t="s">
        <v>257</v>
      </c>
      <c r="H122" s="224">
        <f>IF(H121*MIN(ABS(H119),ABS(H120))&gt;1,0,H121*MIN(ABS(H119),ABS(H120)))</f>
        <v>0</v>
      </c>
      <c r="I122" s="224">
        <f t="shared" ref="I122:S122" si="31">IF(I121*MIN(ABS(I119),ABS(I120))&gt;1,0,I121*MIN(ABS(I119),ABS(I120)))</f>
        <v>0</v>
      </c>
      <c r="J122" s="224">
        <f t="shared" si="31"/>
        <v>0</v>
      </c>
      <c r="K122" s="224">
        <f t="shared" si="31"/>
        <v>0</v>
      </c>
      <c r="L122" s="224">
        <f t="shared" si="31"/>
        <v>0</v>
      </c>
      <c r="M122" s="224">
        <f t="shared" si="31"/>
        <v>0</v>
      </c>
      <c r="N122" s="224">
        <f t="shared" si="31"/>
        <v>0</v>
      </c>
      <c r="O122" s="224">
        <f t="shared" si="31"/>
        <v>0</v>
      </c>
      <c r="P122" s="224">
        <f t="shared" si="31"/>
        <v>0</v>
      </c>
      <c r="Q122" s="224">
        <f t="shared" si="31"/>
        <v>0</v>
      </c>
      <c r="R122" s="224">
        <f t="shared" si="31"/>
        <v>0</v>
      </c>
      <c r="S122" s="224">
        <f t="shared" si="31"/>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8">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opLeftCell="B25" zoomScale="75" zoomScaleNormal="75" zoomScalePageLayoutView="75" workbookViewId="0">
      <selection activeCell="K9" sqref="K9"/>
    </sheetView>
  </sheetViews>
  <sheetFormatPr defaultColWidth="11" defaultRowHeight="15.75" x14ac:dyDescent="0.25"/>
  <cols>
    <col min="1" max="1" width="45.375" style="81" customWidth="1"/>
    <col min="2" max="2" width="19.62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Loads'!A177</f>
        <v>CS 6</v>
      </c>
      <c r="B1" s="205" t="str">
        <f>'CSs and Loads'!A187</f>
        <v>X-axis</v>
      </c>
    </row>
    <row r="2" spans="1:18" ht="16.5" thickBot="1" x14ac:dyDescent="0.3">
      <c r="A2" s="82" t="s">
        <v>132</v>
      </c>
      <c r="E2" s="176"/>
      <c r="F2" s="176"/>
      <c r="G2" s="176"/>
      <c r="H2" s="176"/>
      <c r="I2" s="242"/>
      <c r="J2" s="176"/>
      <c r="K2" s="176"/>
      <c r="L2" s="243"/>
      <c r="M2" s="243"/>
      <c r="N2" s="207"/>
    </row>
    <row r="3" spans="1:18" x14ac:dyDescent="0.25">
      <c r="A3" s="208" t="s">
        <v>111</v>
      </c>
      <c r="D3" s="241"/>
      <c r="E3" s="345" t="s">
        <v>372</v>
      </c>
      <c r="F3" s="346"/>
      <c r="G3" s="346"/>
      <c r="H3" s="346"/>
      <c r="I3" s="346"/>
      <c r="J3" s="346"/>
      <c r="K3" s="346"/>
      <c r="L3" s="346"/>
      <c r="M3" s="347"/>
      <c r="N3" s="181"/>
      <c r="O3" s="209"/>
      <c r="P3" s="209"/>
      <c r="Q3" s="209"/>
      <c r="R3" s="209"/>
    </row>
    <row r="4" spans="1:18" x14ac:dyDescent="0.25">
      <c r="A4" s="82" t="s">
        <v>321</v>
      </c>
      <c r="B4" s="177" t="s">
        <v>349</v>
      </c>
      <c r="C4" s="82" t="s">
        <v>369</v>
      </c>
      <c r="D4" s="169"/>
      <c r="E4" s="353" t="s">
        <v>352</v>
      </c>
      <c r="F4" s="354"/>
      <c r="G4" s="354"/>
      <c r="H4" s="354"/>
      <c r="I4" s="354"/>
      <c r="J4" s="354"/>
      <c r="K4" s="354"/>
      <c r="L4" s="354"/>
      <c r="M4" s="355"/>
      <c r="N4" s="181"/>
      <c r="O4" s="149"/>
      <c r="R4" s="209"/>
    </row>
    <row r="5" spans="1:18" x14ac:dyDescent="0.25">
      <c r="A5" s="114" t="s">
        <v>339</v>
      </c>
      <c r="B5" s="118" t="s">
        <v>310</v>
      </c>
      <c r="C5" s="102" t="s">
        <v>367</v>
      </c>
      <c r="D5" s="169">
        <v>25</v>
      </c>
      <c r="E5" s="182" t="s">
        <v>282</v>
      </c>
      <c r="F5" s="344" t="s">
        <v>285</v>
      </c>
      <c r="G5" s="156">
        <f>(1/2)*B11^3/(3*B7*B18)</f>
        <v>1.4438158714115564E-3</v>
      </c>
      <c r="H5" s="154">
        <v>0</v>
      </c>
      <c r="I5" s="154">
        <v>0</v>
      </c>
      <c r="J5" s="154">
        <v>0</v>
      </c>
      <c r="K5" s="155">
        <f>G9</f>
        <v>-4.3314476142346695E-6</v>
      </c>
      <c r="L5" s="154">
        <v>0</v>
      </c>
      <c r="M5" s="183" t="s">
        <v>276</v>
      </c>
      <c r="N5" s="204"/>
      <c r="O5" s="210"/>
      <c r="P5" s="210"/>
      <c r="Q5" s="210"/>
      <c r="R5" s="209"/>
    </row>
    <row r="6" spans="1:18" x14ac:dyDescent="0.25">
      <c r="A6" s="114" t="s">
        <v>342</v>
      </c>
      <c r="B6" s="118" t="s">
        <v>286</v>
      </c>
      <c r="C6" s="102" t="s">
        <v>32</v>
      </c>
      <c r="D6" s="169">
        <f>1770*9.8</f>
        <v>17346</v>
      </c>
      <c r="E6" s="182" t="s">
        <v>283</v>
      </c>
      <c r="F6" s="344"/>
      <c r="G6" s="154">
        <v>0</v>
      </c>
      <c r="H6" s="155">
        <f>(1/2)*B11^3/(3*B7*B17)</f>
        <v>3.609539678528891E-4</v>
      </c>
      <c r="I6" s="154">
        <v>0</v>
      </c>
      <c r="J6" s="155">
        <f>-(1/2)*B11^2/(2*B7*B17)</f>
        <v>-1.0828619035586674E-6</v>
      </c>
      <c r="K6" s="154">
        <v>0</v>
      </c>
      <c r="L6" s="154">
        <v>0</v>
      </c>
      <c r="M6" s="183" t="s">
        <v>277</v>
      </c>
      <c r="N6" s="181"/>
      <c r="R6" s="209"/>
    </row>
    <row r="7" spans="1:18" x14ac:dyDescent="0.25">
      <c r="A7" s="102" t="s">
        <v>291</v>
      </c>
      <c r="B7" s="82">
        <v>13000</v>
      </c>
      <c r="C7" s="102" t="s">
        <v>243</v>
      </c>
      <c r="D7" s="169">
        <f>647*1000</f>
        <v>647000</v>
      </c>
      <c r="E7" s="182" t="s">
        <v>284</v>
      </c>
      <c r="F7" s="344"/>
      <c r="G7" s="154">
        <v>0</v>
      </c>
      <c r="H7" s="154">
        <v>0</v>
      </c>
      <c r="I7" s="155">
        <f>(1/2)*B12/(B16*B7)</f>
        <v>3.7259689903995191E-6</v>
      </c>
      <c r="J7" s="154">
        <v>0</v>
      </c>
      <c r="K7" s="154">
        <v>0</v>
      </c>
      <c r="L7" s="154">
        <v>0</v>
      </c>
      <c r="M7" s="183" t="s">
        <v>278</v>
      </c>
      <c r="N7" s="181"/>
      <c r="R7" s="209"/>
    </row>
    <row r="8" spans="1:18" x14ac:dyDescent="0.25">
      <c r="A8" s="102" t="s">
        <v>287</v>
      </c>
      <c r="B8" s="82">
        <v>0.38</v>
      </c>
      <c r="C8" s="102" t="s">
        <v>33</v>
      </c>
      <c r="D8" s="169">
        <v>3</v>
      </c>
      <c r="E8" s="182" t="s">
        <v>273</v>
      </c>
      <c r="F8" s="344"/>
      <c r="G8" s="148"/>
      <c r="H8" s="155">
        <f>J6</f>
        <v>-1.0828619035586674E-6</v>
      </c>
      <c r="I8" s="154">
        <v>0</v>
      </c>
      <c r="J8" s="155">
        <f>2*I7/'CS_5 Bridge'!B12^2</f>
        <v>1.520803669550824E-11</v>
      </c>
      <c r="K8" s="154">
        <v>0</v>
      </c>
      <c r="L8" s="154">
        <v>0</v>
      </c>
      <c r="M8" s="183" t="s">
        <v>279</v>
      </c>
      <c r="N8" s="181"/>
      <c r="R8" s="209"/>
    </row>
    <row r="9" spans="1:18" x14ac:dyDescent="0.25">
      <c r="A9" s="102" t="s">
        <v>292</v>
      </c>
      <c r="B9" s="97">
        <f>B7/(2*(1+B8))</f>
        <v>4710.144927536232</v>
      </c>
      <c r="C9" s="102" t="s">
        <v>34</v>
      </c>
      <c r="D9" s="169">
        <v>0.01</v>
      </c>
      <c r="E9" s="182" t="s">
        <v>275</v>
      </c>
      <c r="F9" s="344"/>
      <c r="G9" s="155">
        <f>-(1/2)*B11^2/(2*B7*B18)</f>
        <v>-4.3314476142346695E-6</v>
      </c>
      <c r="H9" s="154">
        <v>0</v>
      </c>
      <c r="I9" s="154">
        <v>0</v>
      </c>
      <c r="J9" s="154">
        <v>0</v>
      </c>
      <c r="K9" s="155">
        <f>(1/2)*B11/(B7*B18)</f>
        <v>1.7325790456938678E-8</v>
      </c>
      <c r="L9" s="154">
        <v>0</v>
      </c>
      <c r="M9" s="183" t="s">
        <v>280</v>
      </c>
      <c r="N9" s="181"/>
      <c r="R9" s="209"/>
    </row>
    <row r="10" spans="1:18" ht="16.5" thickBot="1" x14ac:dyDescent="0.3">
      <c r="A10" s="81" t="s">
        <v>343</v>
      </c>
      <c r="B10" s="82"/>
      <c r="C10" s="102" t="s">
        <v>288</v>
      </c>
      <c r="D10" s="237">
        <f>D6/(D8*D9)</f>
        <v>578200</v>
      </c>
      <c r="E10" s="184" t="s">
        <v>274</v>
      </c>
      <c r="F10" s="377"/>
      <c r="G10" s="193">
        <v>0</v>
      </c>
      <c r="H10" s="193">
        <v>0</v>
      </c>
      <c r="I10" s="193">
        <v>0</v>
      </c>
      <c r="J10" s="193">
        <v>0</v>
      </c>
      <c r="K10" s="193">
        <v>0</v>
      </c>
      <c r="L10" s="194">
        <f>1/(1/(2*G5/'CS_5 Bridge'!B12^2)+1/(B11/(B19*B9)))</f>
        <v>1.5893688502687468E-9</v>
      </c>
      <c r="M10" s="187" t="s">
        <v>281</v>
      </c>
      <c r="N10" s="181"/>
      <c r="R10" s="209"/>
    </row>
    <row r="11" spans="1:18" x14ac:dyDescent="0.25">
      <c r="A11" s="149" t="s">
        <v>347</v>
      </c>
      <c r="B11" s="141">
        <f>B12</f>
        <v>500</v>
      </c>
      <c r="C11" s="102" t="s">
        <v>35</v>
      </c>
      <c r="D11" s="82">
        <v>25</v>
      </c>
      <c r="E11" s="163"/>
      <c r="F11" s="244"/>
      <c r="G11" s="163"/>
      <c r="H11" s="163"/>
      <c r="I11" s="163"/>
      <c r="J11" s="163"/>
      <c r="K11" s="163"/>
      <c r="L11" s="163"/>
      <c r="M11" s="163"/>
      <c r="R11" s="209"/>
    </row>
    <row r="12" spans="1:18" x14ac:dyDescent="0.25">
      <c r="A12" s="102" t="s">
        <v>234</v>
      </c>
      <c r="B12" s="119">
        <v>500</v>
      </c>
      <c r="C12" s="102" t="s">
        <v>379</v>
      </c>
      <c r="D12" s="101">
        <f>D7*D11^2/4</f>
        <v>101093750</v>
      </c>
      <c r="I12" s="82"/>
      <c r="O12" s="149"/>
      <c r="R12" s="209"/>
    </row>
    <row r="13" spans="1:18" x14ac:dyDescent="0.25">
      <c r="A13" s="102" t="s">
        <v>358</v>
      </c>
      <c r="B13" s="82">
        <f>2*25.4</f>
        <v>50.8</v>
      </c>
      <c r="C13" s="102" t="s">
        <v>289</v>
      </c>
      <c r="D13" s="101">
        <f>D7*D11^2/12</f>
        <v>33697916.666666664</v>
      </c>
      <c r="I13" s="82"/>
      <c r="O13" s="149"/>
      <c r="R13" s="209"/>
    </row>
    <row r="14" spans="1:18" x14ac:dyDescent="0.25">
      <c r="A14" s="102" t="s">
        <v>359</v>
      </c>
      <c r="B14" s="82">
        <f>4*25.4</f>
        <v>101.6</v>
      </c>
      <c r="C14" s="102" t="s">
        <v>290</v>
      </c>
      <c r="D14" s="97">
        <f>D13</f>
        <v>33697916.666666664</v>
      </c>
      <c r="I14" s="82"/>
      <c r="O14" s="149"/>
      <c r="R14" s="209"/>
    </row>
    <row r="15" spans="1:18" x14ac:dyDescent="0.25">
      <c r="A15" s="102" t="s">
        <v>271</v>
      </c>
      <c r="B15" s="82">
        <v>0</v>
      </c>
      <c r="C15" s="114" t="s">
        <v>368</v>
      </c>
      <c r="I15" s="82"/>
      <c r="O15" s="149"/>
      <c r="R15" s="209"/>
    </row>
    <row r="16" spans="1:18" x14ac:dyDescent="0.25">
      <c r="A16" s="102" t="s">
        <v>272</v>
      </c>
      <c r="B16" s="304">
        <f>B13*B14</f>
        <v>5161.28</v>
      </c>
      <c r="C16" s="115" t="s">
        <v>267</v>
      </c>
      <c r="D16" s="118" t="s">
        <v>317</v>
      </c>
      <c r="I16" s="82"/>
      <c r="O16" s="149"/>
      <c r="R16" s="209"/>
    </row>
    <row r="17" spans="1:19" x14ac:dyDescent="0.25">
      <c r="A17" s="258" t="s">
        <v>393</v>
      </c>
      <c r="B17" s="304">
        <f>(B14^3*B13)/12</f>
        <v>4439801.8730666665</v>
      </c>
      <c r="C17" s="116" t="s">
        <v>269</v>
      </c>
      <c r="D17" s="82">
        <v>25</v>
      </c>
      <c r="I17" s="82"/>
      <c r="O17" s="149"/>
      <c r="R17" s="209"/>
    </row>
    <row r="18" spans="1:19" x14ac:dyDescent="0.25">
      <c r="A18" s="258" t="s">
        <v>394</v>
      </c>
      <c r="B18" s="304">
        <f>(B14*B13^3)/12</f>
        <v>1109950.4682666666</v>
      </c>
      <c r="C18" s="116" t="s">
        <v>234</v>
      </c>
      <c r="D18" s="97">
        <f>Summary!K9+Summary!M9</f>
        <v>450</v>
      </c>
      <c r="I18" s="82"/>
      <c r="O18" s="149"/>
      <c r="R18" s="209"/>
    </row>
    <row r="19" spans="1:19" x14ac:dyDescent="0.25">
      <c r="A19" s="102" t="s">
        <v>236</v>
      </c>
      <c r="B19" s="304">
        <f>B14*B13^3*((16/3)-3.36*(B13/B14)*(1-B13^4/(12*B14^4)))</f>
        <v>48776773.327978663</v>
      </c>
      <c r="C19" s="102" t="s">
        <v>54</v>
      </c>
      <c r="D19" s="117">
        <v>200000</v>
      </c>
      <c r="I19" s="82"/>
      <c r="O19" s="149"/>
      <c r="R19" s="209"/>
    </row>
    <row r="20" spans="1:19" x14ac:dyDescent="0.25">
      <c r="A20" s="102" t="s">
        <v>337</v>
      </c>
      <c r="B20" s="97">
        <f>B18/B16</f>
        <v>215.05333333333334</v>
      </c>
      <c r="C20" s="116" t="s">
        <v>268</v>
      </c>
      <c r="D20" s="98">
        <f>PI()*D17^2/4*D19/D18</f>
        <v>218166.15649929119</v>
      </c>
      <c r="I20" s="82"/>
      <c r="O20" s="149"/>
      <c r="R20" s="209"/>
    </row>
    <row r="21" spans="1:19" ht="16.5" thickBot="1" x14ac:dyDescent="0.3">
      <c r="A21" s="239" t="s">
        <v>314</v>
      </c>
      <c r="B21" s="245">
        <f>3*B7*B18/B12^3</f>
        <v>346.30454609920002</v>
      </c>
      <c r="C21" s="239" t="s">
        <v>320</v>
      </c>
      <c r="D21" s="229">
        <v>3</v>
      </c>
      <c r="E21" s="176"/>
      <c r="F21" s="176"/>
      <c r="G21" s="176"/>
      <c r="H21" s="176"/>
      <c r="I21" s="229"/>
      <c r="J21" s="176"/>
      <c r="K21" s="176"/>
      <c r="L21" s="176"/>
      <c r="M21" s="176"/>
      <c r="O21" s="149"/>
      <c r="R21" s="209"/>
    </row>
    <row r="22" spans="1:19" ht="16.5" thickBot="1" x14ac:dyDescent="0.3">
      <c r="A22" s="381" t="s">
        <v>373</v>
      </c>
      <c r="B22" s="382"/>
      <c r="C22" s="382"/>
      <c r="D22" s="382"/>
      <c r="E22" s="382"/>
      <c r="F22" s="382"/>
      <c r="G22" s="382"/>
      <c r="H22" s="382"/>
      <c r="I22" s="382"/>
      <c r="J22" s="382"/>
      <c r="K22" s="382"/>
      <c r="L22" s="382"/>
      <c r="M22" s="383"/>
      <c r="N22" s="181"/>
      <c r="O22" s="149"/>
      <c r="R22" s="209"/>
    </row>
    <row r="23" spans="1:19" ht="31.5" x14ac:dyDescent="0.25">
      <c r="A23" s="272" t="s">
        <v>374</v>
      </c>
      <c r="B23" s="232"/>
      <c r="C23" s="240" t="s">
        <v>265</v>
      </c>
      <c r="D23" s="163"/>
      <c r="E23" s="163"/>
      <c r="F23" s="163"/>
      <c r="G23" s="163"/>
      <c r="H23" s="163"/>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72722.052166430396</v>
      </c>
      <c r="C25" s="236">
        <f>D20/D21</f>
        <v>72722.052166430396</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65" t="s">
        <v>129</v>
      </c>
      <c r="I29" s="365"/>
      <c r="J29" s="365"/>
      <c r="K29" s="365"/>
      <c r="L29" s="365"/>
      <c r="M29" s="365"/>
      <c r="N29" s="365"/>
      <c r="O29" s="365"/>
      <c r="P29" s="365"/>
      <c r="Q29" s="365"/>
      <c r="R29" s="365"/>
      <c r="S29" s="365"/>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66" t="s">
        <v>190</v>
      </c>
      <c r="B32" s="366"/>
      <c r="C32" s="366"/>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66"/>
      <c r="B33" s="366"/>
      <c r="C33" s="366"/>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66"/>
      <c r="B34" s="366"/>
      <c r="C34" s="366"/>
      <c r="G34" s="82" t="s">
        <v>130</v>
      </c>
      <c r="H34" s="367"/>
      <c r="I34" s="367"/>
      <c r="J34" s="367"/>
      <c r="K34" s="367"/>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67"/>
      <c r="I38" s="367"/>
      <c r="J38" s="367"/>
      <c r="K38" s="367"/>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C44" s="87"/>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SQRT((H48^2+I48^2+J48^2+K48^2+L48^2+M48^2+N48^2+O48^2+P48^2+Q48^2+R48^2+S48^2)/H$28)</f>
        <v>5.0000000000000001E-3</v>
      </c>
      <c r="C46" s="87"/>
      <c r="D46" s="218"/>
      <c r="E46" s="218"/>
      <c r="F46" s="218"/>
      <c r="G46" s="82" t="s">
        <v>307</v>
      </c>
    </row>
    <row r="47" spans="1:19" x14ac:dyDescent="0.25">
      <c r="A47" s="102" t="s">
        <v>123</v>
      </c>
      <c r="B47" s="105">
        <f>SQRT((H49^2+I49^2+J49^2+K49^2+L49^2+M49^2+N49^2+O49^2+P49^2+Q49^2+R49^2+S49^2)/H$28)</f>
        <v>5.0000000000000001E-3</v>
      </c>
      <c r="C47" s="87"/>
      <c r="D47" s="198"/>
      <c r="E47" s="198"/>
      <c r="F47" s="198"/>
      <c r="G47" s="102" t="s">
        <v>121</v>
      </c>
      <c r="H47" s="213">
        <f t="shared" ref="H47:K49" si="8">0.005</f>
        <v>5.0000000000000001E-3</v>
      </c>
      <c r="I47" s="213">
        <f t="shared" si="8"/>
        <v>5.0000000000000001E-3</v>
      </c>
      <c r="J47" s="213">
        <f t="shared" si="8"/>
        <v>5.0000000000000001E-3</v>
      </c>
      <c r="K47" s="213">
        <f t="shared" si="8"/>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8"/>
        <v>5.0000000000000001E-3</v>
      </c>
      <c r="I48" s="213">
        <f t="shared" si="8"/>
        <v>5.0000000000000001E-3</v>
      </c>
      <c r="J48" s="213">
        <f t="shared" si="8"/>
        <v>5.0000000000000001E-3</v>
      </c>
      <c r="K48" s="213">
        <f t="shared" si="8"/>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D49" s="218"/>
      <c r="E49" s="218"/>
      <c r="F49" s="218"/>
      <c r="G49" s="102" t="s">
        <v>123</v>
      </c>
      <c r="H49" s="213">
        <f t="shared" si="8"/>
        <v>5.0000000000000001E-3</v>
      </c>
      <c r="I49" s="213">
        <f t="shared" si="8"/>
        <v>5.0000000000000001E-3</v>
      </c>
      <c r="J49" s="213">
        <f t="shared" si="8"/>
        <v>5.0000000000000001E-3</v>
      </c>
      <c r="K49" s="213">
        <f t="shared" si="8"/>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C51" s="87"/>
      <c r="D51" s="219"/>
      <c r="E51" s="219"/>
      <c r="F51" s="219"/>
      <c r="G51" s="102" t="s">
        <v>85</v>
      </c>
      <c r="H51" s="152">
        <f>H98</f>
        <v>9.9999998000000053E-5</v>
      </c>
      <c r="I51" s="152">
        <f t="shared" ref="I51:S51" si="9">I98</f>
        <v>9.9999998000000053E-5</v>
      </c>
      <c r="J51" s="152">
        <f t="shared" si="9"/>
        <v>1.0000000200000004E-4</v>
      </c>
      <c r="K51" s="152">
        <f t="shared" si="9"/>
        <v>1.0000000200000004E-4</v>
      </c>
      <c r="L51" s="152">
        <f t="shared" si="9"/>
        <v>0</v>
      </c>
      <c r="M51" s="152">
        <f t="shared" si="9"/>
        <v>0</v>
      </c>
      <c r="N51" s="152">
        <f t="shared" si="9"/>
        <v>0</v>
      </c>
      <c r="O51" s="152">
        <f t="shared" si="9"/>
        <v>0</v>
      </c>
      <c r="P51" s="152">
        <f t="shared" si="9"/>
        <v>0</v>
      </c>
      <c r="Q51" s="152">
        <f t="shared" si="9"/>
        <v>0</v>
      </c>
      <c r="R51" s="152">
        <f t="shared" si="9"/>
        <v>0</v>
      </c>
      <c r="S51" s="152">
        <f t="shared" si="9"/>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0">I102</f>
        <v>9.9999998000000053E-5</v>
      </c>
      <c r="J52" s="152">
        <f t="shared" si="10"/>
        <v>1.0000000200000004E-4</v>
      </c>
      <c r="K52" s="152">
        <f t="shared" si="10"/>
        <v>9.9999998000000053E-5</v>
      </c>
      <c r="L52" s="152">
        <f t="shared" si="10"/>
        <v>0</v>
      </c>
      <c r="M52" s="152">
        <f t="shared" si="10"/>
        <v>0</v>
      </c>
      <c r="N52" s="152">
        <f t="shared" si="10"/>
        <v>0</v>
      </c>
      <c r="O52" s="152">
        <f t="shared" si="10"/>
        <v>0</v>
      </c>
      <c r="P52" s="152">
        <f t="shared" si="10"/>
        <v>0</v>
      </c>
      <c r="Q52" s="152">
        <f t="shared" si="10"/>
        <v>0</v>
      </c>
      <c r="R52" s="152">
        <f t="shared" si="10"/>
        <v>0</v>
      </c>
      <c r="S52" s="152">
        <f t="shared" si="10"/>
        <v>0</v>
      </c>
      <c r="T52" s="83"/>
    </row>
    <row r="53" spans="1:20" x14ac:dyDescent="0.25">
      <c r="A53" s="102" t="s">
        <v>122</v>
      </c>
      <c r="B53" s="105">
        <f>SQRT((H56^2+I56^2+J56^2+K56^2+L56^2+M56^2+N56^2+O56^2+P56^2+Q56^2+R56^2+S56^2)/H$28)</f>
        <v>0</v>
      </c>
      <c r="C53" s="87"/>
      <c r="D53" s="219"/>
      <c r="E53" s="219"/>
      <c r="F53" s="219"/>
      <c r="G53" s="102" t="s">
        <v>87</v>
      </c>
      <c r="H53" s="152">
        <f>H106</f>
        <v>9.9999998000000053E-5</v>
      </c>
      <c r="I53" s="152">
        <f t="shared" ref="I53:S53" si="11">I106</f>
        <v>1.0000000200000004E-4</v>
      </c>
      <c r="J53" s="152">
        <f t="shared" si="11"/>
        <v>1.0000000200000004E-4</v>
      </c>
      <c r="K53" s="152">
        <f t="shared" si="11"/>
        <v>9.9999998000000053E-5</v>
      </c>
      <c r="L53" s="152">
        <f t="shared" si="11"/>
        <v>0</v>
      </c>
      <c r="M53" s="152">
        <f t="shared" si="11"/>
        <v>0</v>
      </c>
      <c r="N53" s="152">
        <f t="shared" si="11"/>
        <v>0</v>
      </c>
      <c r="O53" s="152">
        <f t="shared" si="11"/>
        <v>0</v>
      </c>
      <c r="P53" s="152">
        <f t="shared" si="11"/>
        <v>0</v>
      </c>
      <c r="Q53" s="152">
        <f t="shared" si="11"/>
        <v>0</v>
      </c>
      <c r="R53" s="152">
        <f t="shared" si="11"/>
        <v>0</v>
      </c>
      <c r="S53" s="152">
        <f t="shared" si="11"/>
        <v>0</v>
      </c>
    </row>
    <row r="54" spans="1:20" x14ac:dyDescent="0.25">
      <c r="A54" s="102" t="s">
        <v>123</v>
      </c>
      <c r="B54" s="105">
        <f>SQRT((H57^2+I57^2+J57^2+K57^2+L57^2+M57^2+N57^2+O57^2+P57^2+Q57^2+R57^2+S57^2)/H$28)</f>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G58" s="82" t="s">
        <v>253</v>
      </c>
    </row>
    <row r="59" spans="1:20" x14ac:dyDescent="0.25">
      <c r="G59" s="102" t="s">
        <v>85</v>
      </c>
      <c r="H59" s="221">
        <f>H113</f>
        <v>0</v>
      </c>
      <c r="I59" s="221">
        <f t="shared" ref="I59:S59" si="12">I113</f>
        <v>0</v>
      </c>
      <c r="J59" s="221">
        <f t="shared" si="12"/>
        <v>0</v>
      </c>
      <c r="K59" s="221">
        <f t="shared" si="12"/>
        <v>0</v>
      </c>
      <c r="L59" s="221">
        <f t="shared" si="12"/>
        <v>0</v>
      </c>
      <c r="M59" s="221">
        <f t="shared" si="12"/>
        <v>0</v>
      </c>
      <c r="N59" s="221">
        <f t="shared" si="12"/>
        <v>0</v>
      </c>
      <c r="O59" s="221">
        <f t="shared" si="12"/>
        <v>0</v>
      </c>
      <c r="P59" s="221">
        <f t="shared" si="12"/>
        <v>0</v>
      </c>
      <c r="Q59" s="221">
        <f t="shared" si="12"/>
        <v>0</v>
      </c>
      <c r="R59" s="221">
        <f t="shared" si="12"/>
        <v>0</v>
      </c>
      <c r="S59" s="221">
        <f t="shared" si="12"/>
        <v>0</v>
      </c>
    </row>
    <row r="60" spans="1:20" x14ac:dyDescent="0.25">
      <c r="G60" s="102" t="s">
        <v>86</v>
      </c>
      <c r="H60" s="221">
        <f>H118</f>
        <v>0</v>
      </c>
      <c r="I60" s="221">
        <f t="shared" ref="I60:S60" si="13">I118</f>
        <v>0</v>
      </c>
      <c r="J60" s="221">
        <f t="shared" si="13"/>
        <v>0</v>
      </c>
      <c r="K60" s="221">
        <f t="shared" si="13"/>
        <v>0</v>
      </c>
      <c r="L60" s="221">
        <f t="shared" si="13"/>
        <v>0</v>
      </c>
      <c r="M60" s="221">
        <f t="shared" si="13"/>
        <v>0</v>
      </c>
      <c r="N60" s="221">
        <f t="shared" si="13"/>
        <v>0</v>
      </c>
      <c r="O60" s="221">
        <f t="shared" si="13"/>
        <v>0</v>
      </c>
      <c r="P60" s="221">
        <f t="shared" si="13"/>
        <v>0</v>
      </c>
      <c r="Q60" s="221">
        <f t="shared" si="13"/>
        <v>0</v>
      </c>
      <c r="R60" s="221">
        <f t="shared" si="13"/>
        <v>0</v>
      </c>
      <c r="S60" s="221">
        <f t="shared" si="13"/>
        <v>0</v>
      </c>
    </row>
    <row r="61" spans="1:20" x14ac:dyDescent="0.25">
      <c r="G61" s="102" t="s">
        <v>87</v>
      </c>
      <c r="H61" s="221">
        <f>H123</f>
        <v>0</v>
      </c>
      <c r="I61" s="221">
        <f t="shared" ref="I61:S61" si="14">I123</f>
        <v>0</v>
      </c>
      <c r="J61" s="221">
        <f t="shared" si="14"/>
        <v>0</v>
      </c>
      <c r="K61" s="221">
        <f t="shared" si="14"/>
        <v>0</v>
      </c>
      <c r="L61" s="221">
        <f t="shared" si="14"/>
        <v>0</v>
      </c>
      <c r="M61" s="221">
        <f t="shared" si="14"/>
        <v>0</v>
      </c>
      <c r="N61" s="221">
        <f t="shared" si="14"/>
        <v>0</v>
      </c>
      <c r="O61" s="221">
        <f t="shared" si="14"/>
        <v>0</v>
      </c>
      <c r="P61" s="221">
        <f t="shared" si="14"/>
        <v>0</v>
      </c>
      <c r="Q61" s="221">
        <f t="shared" si="14"/>
        <v>0</v>
      </c>
      <c r="R61" s="221">
        <f t="shared" si="14"/>
        <v>0</v>
      </c>
      <c r="S61" s="221">
        <f t="shared" si="14"/>
        <v>0</v>
      </c>
    </row>
    <row r="62" spans="1:20" x14ac:dyDescent="0.25">
      <c r="G62" s="214"/>
    </row>
    <row r="63" spans="1:20" x14ac:dyDescent="0.25">
      <c r="I63" s="118"/>
      <c r="J63" s="118"/>
      <c r="K63" s="118"/>
      <c r="L63" s="118"/>
      <c r="M63" s="118"/>
      <c r="N63" s="118"/>
    </row>
    <row r="64" spans="1:20" x14ac:dyDescent="0.25">
      <c r="G64" s="119"/>
      <c r="H64" s="344"/>
      <c r="I64" s="147"/>
      <c r="J64" s="147"/>
      <c r="K64" s="147"/>
      <c r="L64" s="147"/>
      <c r="M64" s="147"/>
      <c r="N64" s="147"/>
      <c r="O64" s="118"/>
    </row>
    <row r="65" spans="1:15" x14ac:dyDescent="0.25">
      <c r="G65" s="119"/>
      <c r="H65" s="344"/>
      <c r="I65" s="147"/>
      <c r="J65" s="147"/>
      <c r="K65" s="147"/>
      <c r="L65" s="147"/>
      <c r="M65" s="147"/>
      <c r="N65" s="147"/>
      <c r="O65" s="118"/>
    </row>
    <row r="66" spans="1:15" x14ac:dyDescent="0.25">
      <c r="G66" s="119"/>
      <c r="H66" s="344"/>
      <c r="I66" s="147"/>
      <c r="J66" s="147"/>
      <c r="K66" s="147"/>
      <c r="L66" s="147"/>
      <c r="M66" s="147"/>
      <c r="N66" s="147"/>
      <c r="O66" s="118"/>
    </row>
    <row r="67" spans="1:15" x14ac:dyDescent="0.25">
      <c r="G67" s="119"/>
      <c r="H67" s="344"/>
      <c r="I67" s="147"/>
      <c r="J67" s="147"/>
      <c r="K67" s="147"/>
      <c r="L67" s="147"/>
      <c r="M67" s="147"/>
      <c r="N67" s="147"/>
      <c r="O67" s="118"/>
    </row>
    <row r="68" spans="1:15" x14ac:dyDescent="0.25">
      <c r="G68" s="119"/>
      <c r="H68" s="344"/>
      <c r="I68" s="147"/>
      <c r="J68" s="147"/>
      <c r="K68" s="147"/>
      <c r="L68" s="147"/>
      <c r="M68" s="147"/>
      <c r="N68" s="147"/>
      <c r="O68" s="118"/>
    </row>
    <row r="69" spans="1:15" x14ac:dyDescent="0.25">
      <c r="G69" s="119"/>
      <c r="H69" s="344"/>
      <c r="I69" s="147"/>
      <c r="J69" s="147"/>
      <c r="K69" s="147"/>
      <c r="L69" s="147"/>
      <c r="M69" s="147"/>
      <c r="N69" s="147"/>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A78" s="102"/>
      <c r="B78" s="209"/>
      <c r="G78" s="119"/>
      <c r="H78" s="195"/>
      <c r="I78" s="222"/>
      <c r="J78" s="222"/>
      <c r="K78" s="222"/>
      <c r="L78" s="222"/>
      <c r="M78" s="222"/>
      <c r="N78" s="222"/>
      <c r="O78" s="118"/>
    </row>
    <row r="79" spans="1:15" x14ac:dyDescent="0.25">
      <c r="A79" s="102"/>
      <c r="B79" s="209"/>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5">H48/ABS(H33+0.000001)</f>
        <v>9.9999998000000053E-5</v>
      </c>
      <c r="I96" s="81">
        <f t="shared" si="15"/>
        <v>9.9999998000000053E-5</v>
      </c>
      <c r="J96" s="81">
        <f t="shared" si="15"/>
        <v>1.0000000200000004E-4</v>
      </c>
      <c r="K96" s="81">
        <f t="shared" si="15"/>
        <v>1.0000000200000004E-4</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x14ac:dyDescent="0.25">
      <c r="A97" s="102"/>
      <c r="B97" s="209"/>
      <c r="G97" s="149" t="s">
        <v>259</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x14ac:dyDescent="0.25">
      <c r="A98" s="102"/>
      <c r="B98" s="209"/>
      <c r="G98" s="81" t="s">
        <v>257</v>
      </c>
      <c r="H98" s="224">
        <f>IF(MIN(H96,H97)&gt;1,0,MIN(H96,H97))</f>
        <v>9.9999998000000053E-5</v>
      </c>
      <c r="I98" s="224">
        <f t="shared" ref="I98:S98" si="17">IF(MIN(I96,I97)&gt;1,0,MIN(I96,I97))</f>
        <v>9.9999998000000053E-5</v>
      </c>
      <c r="J98" s="224">
        <f t="shared" si="17"/>
        <v>1.0000000200000004E-4</v>
      </c>
      <c r="K98" s="224">
        <f t="shared" si="17"/>
        <v>1.0000000200000004E-4</v>
      </c>
      <c r="L98" s="224">
        <f t="shared" si="17"/>
        <v>0</v>
      </c>
      <c r="M98" s="224">
        <f t="shared" si="17"/>
        <v>0</v>
      </c>
      <c r="N98" s="224">
        <f t="shared" si="17"/>
        <v>0</v>
      </c>
      <c r="O98" s="224">
        <f t="shared" si="17"/>
        <v>0</v>
      </c>
      <c r="P98" s="224">
        <f t="shared" si="17"/>
        <v>0</v>
      </c>
      <c r="Q98" s="224">
        <f t="shared" si="17"/>
        <v>0</v>
      </c>
      <c r="R98" s="224">
        <f t="shared" si="17"/>
        <v>0</v>
      </c>
      <c r="S98" s="224">
        <f t="shared" si="17"/>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18">H49/ABS(H31+0.000001)</f>
        <v>9.9999998000000053E-5</v>
      </c>
      <c r="I100" s="154">
        <f t="shared" si="18"/>
        <v>1.0000000200000004E-4</v>
      </c>
      <c r="J100" s="154">
        <f t="shared" si="18"/>
        <v>1.0000000200000004E-4</v>
      </c>
      <c r="K100" s="154">
        <f t="shared" si="18"/>
        <v>9.9999998000000053E-5</v>
      </c>
      <c r="L100" s="154">
        <f t="shared" si="18"/>
        <v>0</v>
      </c>
      <c r="M100" s="154">
        <f t="shared" si="18"/>
        <v>0</v>
      </c>
      <c r="N100" s="154">
        <f t="shared" si="18"/>
        <v>0</v>
      </c>
      <c r="O100" s="154">
        <f t="shared" si="18"/>
        <v>0</v>
      </c>
      <c r="P100" s="154">
        <f t="shared" si="18"/>
        <v>0</v>
      </c>
      <c r="Q100" s="154">
        <f t="shared" si="18"/>
        <v>0</v>
      </c>
      <c r="R100" s="154">
        <f t="shared" si="18"/>
        <v>0</v>
      </c>
      <c r="S100" s="154">
        <f t="shared" si="18"/>
        <v>0</v>
      </c>
    </row>
    <row r="101" spans="1:19" x14ac:dyDescent="0.25">
      <c r="A101" s="102"/>
      <c r="B101" s="209"/>
      <c r="G101" s="115" t="s">
        <v>259</v>
      </c>
      <c r="H101" s="225">
        <f t="shared" ref="H101:S101" si="19">H47/ABS(H33+0.000001)</f>
        <v>9.9999998000000053E-5</v>
      </c>
      <c r="I101" s="225">
        <f t="shared" si="19"/>
        <v>9.9999998000000053E-5</v>
      </c>
      <c r="J101" s="225">
        <f t="shared" si="19"/>
        <v>1.0000000200000004E-4</v>
      </c>
      <c r="K101" s="225">
        <f t="shared" si="19"/>
        <v>1.0000000200000004E-4</v>
      </c>
      <c r="L101" s="225">
        <f t="shared" si="19"/>
        <v>0</v>
      </c>
      <c r="M101" s="225">
        <f t="shared" si="19"/>
        <v>0</v>
      </c>
      <c r="N101" s="225">
        <f t="shared" si="19"/>
        <v>0</v>
      </c>
      <c r="O101" s="225">
        <f t="shared" si="19"/>
        <v>0</v>
      </c>
      <c r="P101" s="225">
        <f t="shared" si="19"/>
        <v>0</v>
      </c>
      <c r="Q101" s="225">
        <f t="shared" si="19"/>
        <v>0</v>
      </c>
      <c r="R101" s="225">
        <f t="shared" si="19"/>
        <v>0</v>
      </c>
      <c r="S101" s="225">
        <f t="shared" si="19"/>
        <v>0</v>
      </c>
    </row>
    <row r="102" spans="1:19" x14ac:dyDescent="0.25">
      <c r="A102" s="102"/>
      <c r="B102" s="209"/>
      <c r="G102" s="81" t="s">
        <v>257</v>
      </c>
      <c r="H102" s="224">
        <f>IF(MIN(H100,H101)&gt;1,0,MIN(H100,H101))</f>
        <v>9.9999998000000053E-5</v>
      </c>
      <c r="I102" s="224">
        <f t="shared" ref="I102:S102" si="20">IF(MIN(I100,I101)&gt;1,0,MIN(I100,I101))</f>
        <v>9.9999998000000053E-5</v>
      </c>
      <c r="J102" s="224">
        <f t="shared" si="20"/>
        <v>1.0000000200000004E-4</v>
      </c>
      <c r="K102" s="224">
        <f t="shared" si="20"/>
        <v>9.9999998000000053E-5</v>
      </c>
      <c r="L102" s="224">
        <f t="shared" si="20"/>
        <v>0</v>
      </c>
      <c r="M102" s="224">
        <f t="shared" si="20"/>
        <v>0</v>
      </c>
      <c r="N102" s="224">
        <f t="shared" si="20"/>
        <v>0</v>
      </c>
      <c r="O102" s="224">
        <f t="shared" si="20"/>
        <v>0</v>
      </c>
      <c r="P102" s="224">
        <f t="shared" si="20"/>
        <v>0</v>
      </c>
      <c r="Q102" s="224">
        <f t="shared" si="20"/>
        <v>0</v>
      </c>
      <c r="R102" s="224">
        <f t="shared" si="20"/>
        <v>0</v>
      </c>
      <c r="S102" s="224">
        <f t="shared" si="20"/>
        <v>0</v>
      </c>
    </row>
    <row r="103" spans="1:19" x14ac:dyDescent="0.25">
      <c r="A103" s="102"/>
      <c r="B103" s="209"/>
      <c r="H103" s="81" t="s">
        <v>263</v>
      </c>
    </row>
    <row r="104" spans="1:19" x14ac:dyDescent="0.25">
      <c r="A104" s="102"/>
      <c r="B104" s="209"/>
      <c r="G104" s="149" t="s">
        <v>259</v>
      </c>
      <c r="H104" s="81">
        <f t="shared" ref="H104:S104" si="21">H48/ABS(H31+0.000001)</f>
        <v>9.9999998000000053E-5</v>
      </c>
      <c r="I104" s="81">
        <f t="shared" si="21"/>
        <v>1.0000000200000004E-4</v>
      </c>
      <c r="J104" s="81">
        <f t="shared" si="21"/>
        <v>1.0000000200000004E-4</v>
      </c>
      <c r="K104" s="81">
        <f t="shared" si="21"/>
        <v>9.9999998000000053E-5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x14ac:dyDescent="0.25">
      <c r="A105" s="102"/>
      <c r="B105" s="209"/>
      <c r="G105" s="149" t="s">
        <v>259</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x14ac:dyDescent="0.25">
      <c r="A106" s="102"/>
      <c r="B106" s="209"/>
      <c r="G106" s="81" t="s">
        <v>257</v>
      </c>
      <c r="H106" s="224">
        <f>IF(MIN(H104,H105)&gt;1,0,MIN(H104,H105))</f>
        <v>9.9999998000000053E-5</v>
      </c>
      <c r="I106" s="224">
        <f t="shared" ref="I106:S106" si="23">IF(MIN(I104,I105)&gt;1,0,MIN(I104,I105))</f>
        <v>1.0000000200000004E-4</v>
      </c>
      <c r="J106" s="224">
        <f t="shared" si="23"/>
        <v>1.0000000200000004E-4</v>
      </c>
      <c r="K106" s="224">
        <f t="shared" si="23"/>
        <v>9.9999998000000053E-5</v>
      </c>
      <c r="L106" s="224">
        <f t="shared" si="23"/>
        <v>0</v>
      </c>
      <c r="M106" s="224">
        <f t="shared" si="23"/>
        <v>0</v>
      </c>
      <c r="N106" s="224">
        <f t="shared" si="23"/>
        <v>0</v>
      </c>
      <c r="O106" s="224">
        <f t="shared" si="23"/>
        <v>0</v>
      </c>
      <c r="P106" s="224">
        <f t="shared" si="23"/>
        <v>0</v>
      </c>
      <c r="Q106" s="224">
        <f t="shared" si="23"/>
        <v>0</v>
      </c>
      <c r="R106" s="224">
        <f t="shared" si="23"/>
        <v>0</v>
      </c>
      <c r="S106" s="224">
        <f t="shared" si="23"/>
        <v>0</v>
      </c>
    </row>
    <row r="107" spans="1:19" x14ac:dyDescent="0.25">
      <c r="A107" s="102"/>
      <c r="B107" s="209"/>
    </row>
    <row r="108" spans="1:19" x14ac:dyDescent="0.25">
      <c r="G108" s="223" t="s">
        <v>308</v>
      </c>
      <c r="H108" s="223"/>
      <c r="I108" s="223"/>
      <c r="J108" s="223"/>
      <c r="K108" s="223"/>
      <c r="L108" s="223"/>
      <c r="M108" s="223"/>
      <c r="N108" s="223"/>
      <c r="O108" s="223"/>
      <c r="P108" s="223"/>
    </row>
    <row r="109" spans="1:19" x14ac:dyDescent="0.25">
      <c r="H109" s="102" t="s">
        <v>254</v>
      </c>
      <c r="I109" s="102"/>
      <c r="J109" s="102"/>
      <c r="K109" s="102"/>
      <c r="L109" s="102"/>
      <c r="M109" s="102"/>
      <c r="N109" s="102"/>
      <c r="O109" s="102"/>
      <c r="P109" s="102"/>
      <c r="Q109" s="102"/>
      <c r="R109" s="102"/>
      <c r="S109" s="102"/>
    </row>
    <row r="110" spans="1:19" x14ac:dyDescent="0.25">
      <c r="G110" s="149" t="s">
        <v>259</v>
      </c>
      <c r="H110" s="224">
        <f t="shared" ref="H110:S110" si="24">H56/(H33+0.000001)</f>
        <v>0</v>
      </c>
      <c r="I110" s="224">
        <f t="shared" si="24"/>
        <v>0</v>
      </c>
      <c r="J110" s="224">
        <f t="shared" si="24"/>
        <v>0</v>
      </c>
      <c r="K110" s="224">
        <f t="shared" si="24"/>
        <v>0</v>
      </c>
      <c r="L110" s="224">
        <f t="shared" si="24"/>
        <v>0</v>
      </c>
      <c r="M110" s="224">
        <f t="shared" si="24"/>
        <v>0</v>
      </c>
      <c r="N110" s="224">
        <f t="shared" si="24"/>
        <v>0</v>
      </c>
      <c r="O110" s="224">
        <f t="shared" si="24"/>
        <v>0</v>
      </c>
      <c r="P110" s="224">
        <f t="shared" si="24"/>
        <v>0</v>
      </c>
      <c r="Q110" s="224">
        <f t="shared" si="24"/>
        <v>0</v>
      </c>
      <c r="R110" s="224">
        <f t="shared" si="24"/>
        <v>0</v>
      </c>
      <c r="S110" s="224">
        <f t="shared" si="24"/>
        <v>0</v>
      </c>
    </row>
    <row r="111" spans="1:19" x14ac:dyDescent="0.25">
      <c r="G111" s="149" t="s">
        <v>259</v>
      </c>
      <c r="H111" s="226">
        <f t="shared" ref="H111:S111" si="25">H57/(H32+0.000001)</f>
        <v>0</v>
      </c>
      <c r="I111" s="226">
        <f t="shared" si="25"/>
        <v>0</v>
      </c>
      <c r="J111" s="226">
        <f t="shared" si="25"/>
        <v>0</v>
      </c>
      <c r="K111" s="226">
        <f t="shared" si="25"/>
        <v>0</v>
      </c>
      <c r="L111" s="226">
        <f t="shared" si="25"/>
        <v>0</v>
      </c>
      <c r="M111" s="226">
        <f t="shared" si="25"/>
        <v>0</v>
      </c>
      <c r="N111" s="226">
        <f t="shared" si="25"/>
        <v>0</v>
      </c>
      <c r="O111" s="226">
        <f t="shared" si="25"/>
        <v>0</v>
      </c>
      <c r="P111" s="226">
        <f t="shared" si="25"/>
        <v>0</v>
      </c>
      <c r="Q111" s="226">
        <f t="shared" si="25"/>
        <v>0</v>
      </c>
      <c r="R111" s="226">
        <f t="shared" si="25"/>
        <v>0</v>
      </c>
      <c r="S111" s="226">
        <f t="shared" si="25"/>
        <v>0</v>
      </c>
    </row>
    <row r="112" spans="1:19" x14ac:dyDescent="0.25">
      <c r="G112" s="81" t="s">
        <v>258</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x14ac:dyDescent="0.25">
      <c r="G113" s="81" t="s">
        <v>257</v>
      </c>
      <c r="H113" s="224">
        <f>IF(H112*MIN(ABS(H110),ABS(H111))&gt;1,0,H112*MIN(ABS(H110),ABS(H111)))</f>
        <v>0</v>
      </c>
      <c r="I113" s="224">
        <f t="shared" ref="I113:S113" si="27">IF(I112*MIN(ABS(I110),ABS(I111))&gt;1,0,I112*MIN(ABS(I110),ABS(I111)))</f>
        <v>0</v>
      </c>
      <c r="J113" s="224">
        <f t="shared" si="27"/>
        <v>0</v>
      </c>
      <c r="K113" s="224">
        <f t="shared" si="27"/>
        <v>0</v>
      </c>
      <c r="L113" s="224">
        <f t="shared" si="27"/>
        <v>0</v>
      </c>
      <c r="M113" s="224">
        <f t="shared" si="27"/>
        <v>0</v>
      </c>
      <c r="N113" s="224">
        <f t="shared" si="27"/>
        <v>0</v>
      </c>
      <c r="O113" s="224">
        <f t="shared" si="27"/>
        <v>0</v>
      </c>
      <c r="P113" s="224">
        <f t="shared" si="27"/>
        <v>0</v>
      </c>
      <c r="Q113" s="224">
        <f t="shared" si="27"/>
        <v>0</v>
      </c>
      <c r="R113" s="224">
        <f t="shared" si="27"/>
        <v>0</v>
      </c>
      <c r="S113" s="224">
        <f t="shared" si="27"/>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28">-H57/(H31+0.000001)</f>
        <v>0</v>
      </c>
      <c r="I115" s="154">
        <f t="shared" si="28"/>
        <v>0</v>
      </c>
      <c r="J115" s="154">
        <f t="shared" si="28"/>
        <v>0</v>
      </c>
      <c r="K115" s="154">
        <f t="shared" si="28"/>
        <v>0</v>
      </c>
      <c r="L115" s="154">
        <f t="shared" si="28"/>
        <v>0</v>
      </c>
      <c r="M115" s="154">
        <f t="shared" si="28"/>
        <v>0</v>
      </c>
      <c r="N115" s="154">
        <f t="shared" si="28"/>
        <v>0</v>
      </c>
      <c r="O115" s="154">
        <f t="shared" si="28"/>
        <v>0</v>
      </c>
      <c r="P115" s="154">
        <f t="shared" si="28"/>
        <v>0</v>
      </c>
      <c r="Q115" s="154">
        <f t="shared" si="28"/>
        <v>0</v>
      </c>
      <c r="R115" s="154">
        <f t="shared" si="28"/>
        <v>0</v>
      </c>
      <c r="S115" s="154">
        <f t="shared" si="28"/>
        <v>0</v>
      </c>
    </row>
    <row r="116" spans="7:19" x14ac:dyDescent="0.25">
      <c r="G116" s="115" t="s">
        <v>259</v>
      </c>
      <c r="H116" s="154">
        <f t="shared" ref="H116:S116" si="29">H55/(H33+0.000001)</f>
        <v>0</v>
      </c>
      <c r="I116" s="154">
        <f t="shared" si="29"/>
        <v>0</v>
      </c>
      <c r="J116" s="154">
        <f t="shared" si="29"/>
        <v>0</v>
      </c>
      <c r="K116" s="154">
        <f t="shared" si="29"/>
        <v>0</v>
      </c>
      <c r="L116" s="154">
        <f t="shared" si="29"/>
        <v>0</v>
      </c>
      <c r="M116" s="154">
        <f t="shared" si="29"/>
        <v>0</v>
      </c>
      <c r="N116" s="154">
        <f t="shared" si="29"/>
        <v>0</v>
      </c>
      <c r="O116" s="154">
        <f t="shared" si="29"/>
        <v>0</v>
      </c>
      <c r="P116" s="154">
        <f t="shared" si="29"/>
        <v>0</v>
      </c>
      <c r="Q116" s="154">
        <f t="shared" si="29"/>
        <v>0</v>
      </c>
      <c r="R116" s="154">
        <f t="shared" si="29"/>
        <v>0</v>
      </c>
      <c r="S116" s="154">
        <f t="shared" si="29"/>
        <v>0</v>
      </c>
    </row>
    <row r="117" spans="7:19" x14ac:dyDescent="0.25">
      <c r="G117" s="154" t="s">
        <v>258</v>
      </c>
      <c r="H117" s="227">
        <f>SIGN(H115+0.000000000001)*SIGN(H116+0.000000000001)</f>
        <v>1</v>
      </c>
      <c r="I117" s="227">
        <f t="shared" ref="I117:S117" si="30">SIGN(I115+0.000000000001)*SIGN(I116+0.000000000001)</f>
        <v>1</v>
      </c>
      <c r="J117" s="227">
        <f t="shared" si="30"/>
        <v>1</v>
      </c>
      <c r="K117" s="227">
        <f t="shared" si="30"/>
        <v>1</v>
      </c>
      <c r="L117" s="227">
        <f t="shared" si="30"/>
        <v>1</v>
      </c>
      <c r="M117" s="227">
        <f t="shared" si="30"/>
        <v>1</v>
      </c>
      <c r="N117" s="227">
        <f t="shared" si="30"/>
        <v>1</v>
      </c>
      <c r="O117" s="227">
        <f t="shared" si="30"/>
        <v>1</v>
      </c>
      <c r="P117" s="227">
        <f t="shared" si="30"/>
        <v>1</v>
      </c>
      <c r="Q117" s="227">
        <f t="shared" si="30"/>
        <v>1</v>
      </c>
      <c r="R117" s="227">
        <f t="shared" si="30"/>
        <v>1</v>
      </c>
      <c r="S117" s="227">
        <f t="shared" si="30"/>
        <v>1</v>
      </c>
    </row>
    <row r="118" spans="7:19" x14ac:dyDescent="0.25">
      <c r="G118" s="154" t="s">
        <v>257</v>
      </c>
      <c r="H118" s="228">
        <f>IF(H117*MIN(ABS(H115),ABS(H116))&gt;1,0,H117*MIN(ABS(H115),ABS(H116)))</f>
        <v>0</v>
      </c>
      <c r="I118" s="228">
        <f t="shared" ref="I118:S118" si="31">IF(I117*MIN(ABS(I115),ABS(I116))&gt;1,0,I117*MIN(ABS(I115),ABS(I116)))</f>
        <v>0</v>
      </c>
      <c r="J118" s="228">
        <f t="shared" si="31"/>
        <v>0</v>
      </c>
      <c r="K118" s="228">
        <f t="shared" si="31"/>
        <v>0</v>
      </c>
      <c r="L118" s="228">
        <f t="shared" si="31"/>
        <v>0</v>
      </c>
      <c r="M118" s="228">
        <f t="shared" si="31"/>
        <v>0</v>
      </c>
      <c r="N118" s="228">
        <f t="shared" si="31"/>
        <v>0</v>
      </c>
      <c r="O118" s="228">
        <f t="shared" si="31"/>
        <v>0</v>
      </c>
      <c r="P118" s="228">
        <f t="shared" si="31"/>
        <v>0</v>
      </c>
      <c r="Q118" s="228">
        <f t="shared" si="31"/>
        <v>0</v>
      </c>
      <c r="R118" s="228">
        <f t="shared" si="31"/>
        <v>0</v>
      </c>
      <c r="S118" s="228">
        <f t="shared" si="31"/>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2">H56/(H31+0.000001)</f>
        <v>0</v>
      </c>
      <c r="I120" s="224">
        <f t="shared" si="32"/>
        <v>0</v>
      </c>
      <c r="J120" s="224">
        <f t="shared" si="32"/>
        <v>0</v>
      </c>
      <c r="K120" s="224">
        <f t="shared" si="32"/>
        <v>0</v>
      </c>
      <c r="L120" s="224">
        <f t="shared" si="32"/>
        <v>0</v>
      </c>
      <c r="M120" s="224">
        <f t="shared" si="32"/>
        <v>0</v>
      </c>
      <c r="N120" s="224">
        <f t="shared" si="32"/>
        <v>0</v>
      </c>
      <c r="O120" s="224">
        <f t="shared" si="32"/>
        <v>0</v>
      </c>
      <c r="P120" s="224">
        <f t="shared" si="32"/>
        <v>0</v>
      </c>
      <c r="Q120" s="224">
        <f t="shared" si="32"/>
        <v>0</v>
      </c>
      <c r="R120" s="224">
        <f t="shared" si="32"/>
        <v>0</v>
      </c>
      <c r="S120" s="224">
        <f t="shared" si="32"/>
        <v>0</v>
      </c>
    </row>
    <row r="121" spans="7:19" x14ac:dyDescent="0.25">
      <c r="G121" s="149" t="s">
        <v>259</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x14ac:dyDescent="0.25">
      <c r="G122" s="81" t="s">
        <v>258</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x14ac:dyDescent="0.25">
      <c r="G123" s="81" t="s">
        <v>257</v>
      </c>
      <c r="H123" s="224">
        <f>IF(H122*MIN(ABS(H120),ABS(H121))&gt;1,0,H122*MIN(ABS(H120),ABS(H121)))</f>
        <v>0</v>
      </c>
      <c r="I123" s="224">
        <f t="shared" ref="I123:S123" si="35">IF(I122*MIN(ABS(I120),ABS(I121))&gt;1,0,I122*MIN(ABS(I120),ABS(I121)))</f>
        <v>0</v>
      </c>
      <c r="J123" s="224">
        <f t="shared" si="35"/>
        <v>0</v>
      </c>
      <c r="K123" s="224">
        <f t="shared" si="35"/>
        <v>0</v>
      </c>
      <c r="L123" s="224">
        <f t="shared" si="35"/>
        <v>0</v>
      </c>
      <c r="M123" s="224">
        <f t="shared" si="35"/>
        <v>0</v>
      </c>
      <c r="N123" s="224">
        <f t="shared" si="35"/>
        <v>0</v>
      </c>
      <c r="O123" s="224">
        <f t="shared" si="35"/>
        <v>0</v>
      </c>
      <c r="P123" s="224">
        <f t="shared" si="35"/>
        <v>0</v>
      </c>
      <c r="Q123" s="224">
        <f t="shared" si="35"/>
        <v>0</v>
      </c>
      <c r="R123" s="224">
        <f t="shared" si="35"/>
        <v>0</v>
      </c>
      <c r="S123" s="224">
        <f t="shared" si="35"/>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Summary</vt:lpstr>
      <vt:lpstr>Edit History</vt:lpstr>
      <vt:lpstr>CSs and Loads</vt:lpstr>
      <vt:lpstr>CS_1 Y carriage and table</vt:lpstr>
      <vt:lpstr>CS_2 vertical axis</vt:lpstr>
      <vt:lpstr>CS_3 Z member 3</vt:lpstr>
      <vt:lpstr>CS_4 member 4</vt:lpstr>
      <vt:lpstr>CS_5 Bridge</vt:lpstr>
      <vt:lpstr>CS_6 X-axis</vt:lpstr>
      <vt:lpstr>CS_7 Bed</vt:lpstr>
      <vt:lpstr>CS_8</vt:lpstr>
      <vt:lpstr>CS_9</vt:lpstr>
      <vt:lpstr>CS_10</vt:lpstr>
      <vt:lpstr>ref bearings, servo, structure</vt:lpstr>
      <vt:lpstr>X section properties</vt:lpstr>
      <vt:lpstr>actuators</vt:lpstr>
      <vt:lpstr>axis 1 properties</vt:lpstr>
      <vt:lpstr>Right Hand CS</vt:lpstr>
      <vt:lpstr>HTM formulas</vt:lpstr>
      <vt:lpstr>lgrs</vt:lpstr>
      <vt:lpstr>lgst</vt:lpstr>
      <vt:lpstr>Naxes</vt:lpstr>
      <vt:lpstr>R_Area</vt:lpstr>
      <vt:lpstr>R_I</vt:lpstr>
      <vt:lpstr>R_Ip</vt:lpstr>
      <vt:lpstr>R_OD</vt:lpstr>
      <vt:lpstr>R_wall</vt:lpstr>
      <vt:lpstr>S_Area</vt:lpstr>
      <vt:lpstr>S_I</vt:lpstr>
      <vt:lpstr>S_IP</vt:lpstr>
      <vt:lpstr>S_OD</vt:lpstr>
      <vt:lpstr>S_wall</vt:lpstr>
    </vt:vector>
  </TitlesOfParts>
  <Company>MIT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Yadunund Vijay</cp:lastModifiedBy>
  <dcterms:created xsi:type="dcterms:W3CDTF">2015-07-18T14:59:20Z</dcterms:created>
  <dcterms:modified xsi:type="dcterms:W3CDTF">2017-03-22T19:49:26Z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