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329"/>
  <workbookPr filterPrivacy="1" defaultThemeVersion="164011"/>
  <bookViews>
    <workbookView xWindow="0" yWindow="0" windowWidth="22260" windowHeight="12645" tabRatio="878" firstSheet="1" activeTab="4"/>
  </bookViews>
  <sheets>
    <sheet name="FRDPARRC" sheetId="5" r:id="rId1"/>
    <sheet name="Motor Torque Analysis" sheetId="6" r:id="rId2"/>
    <sheet name="Bearing Length" sheetId="2" r:id="rId3"/>
    <sheet name="Error Apportionment" sheetId="1" r:id="rId4"/>
    <sheet name="Structure Analysis" sheetId="3" r:id="rId5"/>
    <sheet name="Tipping Analysis" sheetId="10" r:id="rId6"/>
    <sheet name="Tapered Cantilever" sheetId="9" r:id="rId7"/>
    <sheet name="Bearing Stiffness" sheetId="7" r:id="rId8"/>
  </sheets>
  <definedNames>
    <definedName name="b">'Tapered Cantilever'!$C$19</definedName>
    <definedName name="b_cantilever">'Tapered Cantilever'!$C$19</definedName>
    <definedName name="c_1">'Tapered Cantilever'!$C$26</definedName>
    <definedName name="c_1_c">'Tapered Cantilever'!$C$26</definedName>
    <definedName name="cone">'Tapered Cantilever'!$C$26</definedName>
    <definedName name="cone_c">'Tapered Cantilever'!$C$26</definedName>
    <definedName name="defl">'Tapered Cantilever'!$C$30</definedName>
    <definedName name="dtot">'Error Apportionment'!$B$6</definedName>
    <definedName name="E">'Tapered Cantilever'!$C$18</definedName>
    <definedName name="E_cantilever">'Tapered Cantilever'!$C$18</definedName>
    <definedName name="F">'Tapered Cantilever'!$C$17</definedName>
    <definedName name="F_cantilever">'Tapered Cantilever'!$C$17</definedName>
    <definedName name="fg">'Error Apportionment'!$B$12</definedName>
    <definedName name="fl">'Error Apportionment'!$B$14</definedName>
    <definedName name="fp">'Error Apportionment'!$B$15</definedName>
    <definedName name="ft">'Error Apportionment'!$B$13</definedName>
    <definedName name="Gamma">'Tapered Cantilever'!$C$21</definedName>
    <definedName name="L">'Tapered Cantilever'!$C$22</definedName>
    <definedName name="L_2">'Tapered Cantilever'!$C$22</definedName>
    <definedName name="m">'Tapered Cantilever'!$C$25</definedName>
    <definedName name="m_cantilever">'Tapered Cantilever'!$C$25</definedName>
    <definedName name="maxs">'Tapered Cantilever'!$C$27</definedName>
    <definedName name="maxs_cantilever">'Tapered Cantilever'!$C$27</definedName>
    <definedName name="N">'Error Apportionment'!$B$5</definedName>
    <definedName name="tb">'Tapered Cantilever'!$C$21</definedName>
    <definedName name="te">'Tapered Cantilever'!$C$20</definedName>
    <definedName name="Tend">'Tapered Cantilever'!$C$20</definedName>
    <definedName name="x">'Tapered Cantilever'!$C$23</definedName>
    <definedName name="x_cantilever">'Tapered Cantilever'!$C$23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3" l="1"/>
  <c r="C43" i="3"/>
  <c r="C18" i="3"/>
  <c r="C5" i="10"/>
  <c r="H30" i="10" a="1"/>
  <c r="I30" i="10" s="1"/>
  <c r="C12" i="10"/>
  <c r="C6" i="10"/>
  <c r="C30" i="10" a="1"/>
  <c r="D30" i="10" s="1"/>
  <c r="C4" i="10"/>
  <c r="C3" i="10"/>
  <c r="C8" i="10"/>
  <c r="C2" i="10"/>
  <c r="H27" i="10" l="1"/>
  <c r="H28" i="10"/>
  <c r="H31" i="10"/>
  <c r="I31" i="10"/>
  <c r="H30" i="10"/>
  <c r="C28" i="10"/>
  <c r="C27" i="10"/>
  <c r="C30" i="10"/>
  <c r="D31" i="10"/>
  <c r="C31" i="10"/>
  <c r="C55" i="3"/>
  <c r="C46" i="3"/>
  <c r="C28" i="3"/>
  <c r="C27" i="3"/>
  <c r="F40" i="3"/>
  <c r="C17" i="3"/>
  <c r="C19" i="9"/>
  <c r="C59" i="3"/>
  <c r="F7" i="3"/>
  <c r="F5" i="3"/>
  <c r="G18" i="10" l="1" a="1"/>
  <c r="G19" i="10" s="1"/>
  <c r="B18" i="10" a="1"/>
  <c r="B18" i="10" s="1"/>
  <c r="C21" i="3"/>
  <c r="C42" i="3" s="1"/>
  <c r="C22" i="3"/>
  <c r="C23" i="3" s="1"/>
  <c r="G5" i="3"/>
  <c r="G7" i="3"/>
  <c r="C17" i="9"/>
  <c r="D31" i="9"/>
  <c r="D28" i="9"/>
  <c r="G18" i="10" l="1"/>
  <c r="B19" i="10"/>
  <c r="C19" i="3"/>
  <c r="C29" i="3"/>
  <c r="C5" i="3"/>
  <c r="C8" i="3" s="1"/>
  <c r="E40" i="3" s="1"/>
  <c r="E41" i="3" s="1"/>
  <c r="B17" i="6"/>
  <c r="B16" i="6"/>
  <c r="B15" i="6"/>
  <c r="C4" i="7"/>
  <c r="C2" i="7"/>
  <c r="C12" i="3"/>
  <c r="C13" i="3"/>
  <c r="C18" i="9"/>
  <c r="C37" i="3"/>
  <c r="C48" i="3" s="1"/>
  <c r="C32" i="3"/>
  <c r="B7" i="6"/>
  <c r="C49" i="3" l="1"/>
  <c r="C7" i="3"/>
  <c r="C14" i="3"/>
  <c r="C12" i="1"/>
  <c r="D12" i="1" s="1"/>
  <c r="H12" i="1" s="1"/>
  <c r="C18" i="1"/>
  <c r="D18" i="1" s="1"/>
  <c r="I18" i="1" s="1"/>
  <c r="C15" i="1"/>
  <c r="D15" i="1" s="1"/>
  <c r="H15" i="1" s="1"/>
  <c r="C21" i="1"/>
  <c r="D21" i="1" s="1"/>
  <c r="F21" i="1" s="1"/>
  <c r="B21" i="1"/>
  <c r="B27" i="1"/>
  <c r="A21" i="1"/>
  <c r="A27" i="1"/>
  <c r="C14" i="1"/>
  <c r="C20" i="1"/>
  <c r="D20" i="1" s="1"/>
  <c r="I20" i="1" s="1"/>
  <c r="B20" i="1"/>
  <c r="B26" i="1"/>
  <c r="A20" i="1"/>
  <c r="A26" i="1"/>
  <c r="C13" i="1"/>
  <c r="D13" i="1" s="1"/>
  <c r="I13" i="1" s="1"/>
  <c r="C19" i="1"/>
  <c r="D19" i="1" s="1"/>
  <c r="B19" i="1"/>
  <c r="B25" i="1"/>
  <c r="A19" i="1"/>
  <c r="A25" i="1"/>
  <c r="B18" i="1"/>
  <c r="B24" i="1"/>
  <c r="A18" i="1"/>
  <c r="A24" i="1"/>
  <c r="C47" i="3" l="1"/>
  <c r="G20" i="1"/>
  <c r="C26" i="1"/>
  <c r="I19" i="1"/>
  <c r="I25" i="1" s="1"/>
  <c r="G19" i="1"/>
  <c r="E19" i="1"/>
  <c r="C27" i="1"/>
  <c r="D14" i="1"/>
  <c r="F14" i="1" s="1"/>
  <c r="C25" i="1"/>
  <c r="C24" i="1"/>
  <c r="F18" i="1"/>
  <c r="D25" i="1"/>
  <c r="F15" i="1"/>
  <c r="F27" i="1" s="1"/>
  <c r="I21" i="1"/>
  <c r="E18" i="1"/>
  <c r="G15" i="1"/>
  <c r="I15" i="1"/>
  <c r="D27" i="1"/>
  <c r="G21" i="1"/>
  <c r="G18" i="1"/>
  <c r="E13" i="1"/>
  <c r="H19" i="1"/>
  <c r="E20" i="1"/>
  <c r="G12" i="1"/>
  <c r="H13" i="1"/>
  <c r="H20" i="1"/>
  <c r="E21" i="1"/>
  <c r="E12" i="1"/>
  <c r="F19" i="1"/>
  <c r="E15" i="1"/>
  <c r="H21" i="1"/>
  <c r="H27" i="1" s="1"/>
  <c r="D24" i="1"/>
  <c r="H18" i="1"/>
  <c r="H24" i="1" s="1"/>
  <c r="F13" i="1"/>
  <c r="F20" i="1"/>
  <c r="F12" i="1"/>
  <c r="G13" i="1"/>
  <c r="I12" i="1"/>
  <c r="I24" i="1" s="1"/>
  <c r="G25" i="1" l="1"/>
  <c r="E14" i="1"/>
  <c r="E26" i="1" s="1"/>
  <c r="E24" i="1"/>
  <c r="C3" i="2" s="1"/>
  <c r="C7" i="2" s="1"/>
  <c r="I14" i="1"/>
  <c r="I26" i="1" s="1"/>
  <c r="D26" i="1"/>
  <c r="G24" i="1"/>
  <c r="G14" i="1"/>
  <c r="G26" i="1" s="1"/>
  <c r="H14" i="1"/>
  <c r="H26" i="1" s="1"/>
  <c r="F26" i="1"/>
  <c r="C5" i="7" s="1"/>
  <c r="E25" i="1"/>
  <c r="F24" i="1"/>
  <c r="C60" i="3" s="1"/>
  <c r="G27" i="1"/>
  <c r="F25" i="1"/>
  <c r="H25" i="1"/>
  <c r="E27" i="1"/>
  <c r="I27" i="1"/>
  <c r="C49" i="2" l="1"/>
  <c r="C21" i="9"/>
  <c r="C25" i="9" s="1"/>
  <c r="C26" i="9" s="1"/>
  <c r="C3" i="7"/>
  <c r="C8" i="7" s="1"/>
  <c r="C11" i="3"/>
  <c r="D7" i="2"/>
  <c r="C9" i="2"/>
  <c r="C8" i="2"/>
  <c r="D8" i="2" s="1"/>
  <c r="D9" i="2" l="1"/>
  <c r="C27" i="9" l="1"/>
  <c r="C28" i="9" s="1"/>
  <c r="C32" i="9"/>
  <c r="C29" i="9"/>
  <c r="C30" i="9"/>
  <c r="C24" i="9" l="1"/>
  <c r="H24" i="9" s="1"/>
  <c r="C9" i="3" s="1"/>
  <c r="C31" i="9"/>
  <c r="C33" i="9"/>
  <c r="C40" i="3"/>
  <c r="C50" i="3"/>
  <c r="C53" i="3" s="1"/>
  <c r="C61" i="3" l="1"/>
  <c r="C54" i="3"/>
  <c r="C56" i="3" s="1"/>
</calcChain>
</file>

<file path=xl/comments1.xml><?xml version="1.0" encoding="utf-8"?>
<comments xmlns="http://schemas.openxmlformats.org/spreadsheetml/2006/main">
  <authors>
    <author>Author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From Saint Venant's Principle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F5" authorId="0" shape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16471 for parallel to grain</t>
        </r>
      </text>
    </comment>
  </commentList>
</comments>
</file>

<file path=xl/sharedStrings.xml><?xml version="1.0" encoding="utf-8"?>
<sst xmlns="http://schemas.openxmlformats.org/spreadsheetml/2006/main" count="357" uniqueCount="280">
  <si>
    <t>Axis_error_apportionment_estimator.xls</t>
  </si>
  <si>
    <t>To apportion errors between types and axes</t>
  </si>
  <si>
    <t>By Alex Slocum, last modified AHS 2013.03.14</t>
  </si>
  <si>
    <r>
      <t xml:space="preserve">Enter numbers in </t>
    </r>
    <r>
      <rPr>
        <b/>
        <sz val="10"/>
        <rFont val="Times New Roman"/>
        <family val="1"/>
      </rPr>
      <t>BOLD,</t>
    </r>
    <r>
      <rPr>
        <sz val="10"/>
        <rFont val="Times New Roman"/>
        <family val="1"/>
      </rPr>
      <t xml:space="preserve"> Results in </t>
    </r>
    <r>
      <rPr>
        <b/>
        <sz val="10"/>
        <color indexed="10"/>
        <rFont val="Times New Roman"/>
        <family val="1"/>
      </rPr>
      <t>RED</t>
    </r>
  </si>
  <si>
    <t>Number of axes, N</t>
  </si>
  <si>
    <t>Total allowable error, dtot (microns)</t>
  </si>
  <si>
    <t>Apportion of error within each axis (amount allocated to each of X, Y, Z directions) to be determined by sensitive directions</t>
  </si>
  <si>
    <t>Bearings (fb)</t>
  </si>
  <si>
    <t>Structure (fs)</t>
  </si>
  <si>
    <t>Actuator (fa)</t>
  </si>
  <si>
    <t>Sensor (fs)</t>
  </si>
  <si>
    <t>Cables (fc)</t>
  </si>
  <si>
    <t>Source of error</t>
  </si>
  <si>
    <t>Factor (f)</t>
  </si>
  <si>
    <t>Apportion of error (dtot/f)</t>
  </si>
  <si>
    <t>Apportion of error per axis</t>
  </si>
  <si>
    <t>Based on linear sum of errors</t>
  </si>
  <si>
    <t>Geometric, fg</t>
  </si>
  <si>
    <t>Thermal, ft</t>
  </si>
  <si>
    <t>Load-induced (deflection), fl</t>
  </si>
  <si>
    <t>Process, fp</t>
  </si>
  <si>
    <t>Based on root square sum of errors</t>
  </si>
  <si>
    <t>Average (expected case) of linear and RSS</t>
  </si>
  <si>
    <t xml:space="preserve">Radial Clearance (mm) </t>
  </si>
  <si>
    <t>fb</t>
  </si>
  <si>
    <t>Bearing Apportion Error (mm)</t>
  </si>
  <si>
    <t>Wd</t>
  </si>
  <si>
    <t>Width of Table (mm)</t>
  </si>
  <si>
    <t>Angular Bearing Error (rad)</t>
  </si>
  <si>
    <t>Length of Slider/bearing (mm)</t>
  </si>
  <si>
    <t>l</t>
  </si>
  <si>
    <t>Width of Slider/bearing (mm)</t>
  </si>
  <si>
    <t>w</t>
  </si>
  <si>
    <t>in</t>
  </si>
  <si>
    <t>deg</t>
  </si>
  <si>
    <t>Length of table</t>
  </si>
  <si>
    <t>L</t>
  </si>
  <si>
    <t>m</t>
  </si>
  <si>
    <t xml:space="preserve">Width of Table </t>
  </si>
  <si>
    <t>Functional Requirements</t>
  </si>
  <si>
    <t>Design Parameters</t>
  </si>
  <si>
    <t>Analysis</t>
  </si>
  <si>
    <t xml:space="preserve">References </t>
  </si>
  <si>
    <t xml:space="preserve">Risks </t>
  </si>
  <si>
    <t>Countermeasures</t>
  </si>
  <si>
    <t>Actuator must self lock</t>
  </si>
  <si>
    <t>Electronically adjustable "Rising Desk"</t>
  </si>
  <si>
    <t>Precision of 3mm</t>
  </si>
  <si>
    <t>Partial whiteboard surface</t>
  </si>
  <si>
    <t>Total vertical travel of 0.5m from comfortable seating height of 0.762m</t>
  </si>
  <si>
    <t>Ardunino controlled height adjustment</t>
  </si>
  <si>
    <t>Motor to create motion</t>
  </si>
  <si>
    <t>Lead screw with box/dove rail</t>
  </si>
  <si>
    <t>Lead screw</t>
  </si>
  <si>
    <t>Size motor based of needed torque and traverse speed</t>
  </si>
  <si>
    <t>Energy in * eta=energy out</t>
  </si>
  <si>
    <t xml:space="preserve">Error apportionment, 1st order beam deflections, stiffness calculations, resonant frequency </t>
  </si>
  <si>
    <t>Friction estimation of lead screw</t>
  </si>
  <si>
    <t>v=P/F</t>
  </si>
  <si>
    <t>Fundamentals</t>
  </si>
  <si>
    <t>Not enough pins</t>
  </si>
  <si>
    <t>Motor Name</t>
  </si>
  <si>
    <t>Nema 17</t>
  </si>
  <si>
    <t>Holding Torque</t>
  </si>
  <si>
    <t>Nm</t>
  </si>
  <si>
    <t>Voltage per phase</t>
  </si>
  <si>
    <t>g/cm^3</t>
  </si>
  <si>
    <t>Shaft Inertia</t>
  </si>
  <si>
    <t>V</t>
  </si>
  <si>
    <t>Rated Current per phase</t>
  </si>
  <si>
    <t>A</t>
  </si>
  <si>
    <t>Load on table</t>
  </si>
  <si>
    <t>N</t>
  </si>
  <si>
    <t>Lift 30kg including table top</t>
  </si>
  <si>
    <t>Power of Motor</t>
  </si>
  <si>
    <t>W</t>
  </si>
  <si>
    <t>Efficiency of lead screw</t>
  </si>
  <si>
    <t>Required lead</t>
  </si>
  <si>
    <t>Velocity</t>
  </si>
  <si>
    <t>m/s</t>
  </si>
  <si>
    <t>Safety factor</t>
  </si>
  <si>
    <t>Lead with SF</t>
  </si>
  <si>
    <t>mm/rev</t>
  </si>
  <si>
    <t xml:space="preserve">Thickness of table </t>
  </si>
  <si>
    <t>t</t>
  </si>
  <si>
    <t>Min table position</t>
  </si>
  <si>
    <t>h_min</t>
  </si>
  <si>
    <t>Max Table postion</t>
  </si>
  <si>
    <t>h_max</t>
  </si>
  <si>
    <t>Max loading</t>
  </si>
  <si>
    <t>F</t>
  </si>
  <si>
    <t>Moment from loading</t>
  </si>
  <si>
    <t>M</t>
  </si>
  <si>
    <t>https://www.forestindustries.fi/mediabank/887.pdf</t>
  </si>
  <si>
    <t>Aluminum</t>
  </si>
  <si>
    <t>Plywood (birch)</t>
  </si>
  <si>
    <t>Density (kg/m^3)</t>
  </si>
  <si>
    <t>http://www.matweb.com/search/datasheet_print.aspx?matguid=1b8c06d0ca7c456694c7777d9e10be5b</t>
  </si>
  <si>
    <t>I_r</t>
  </si>
  <si>
    <t>Dimensions</t>
  </si>
  <si>
    <t>Rail</t>
  </si>
  <si>
    <t>Length of Rail</t>
  </si>
  <si>
    <t>H</t>
  </si>
  <si>
    <t>Width of rail</t>
  </si>
  <si>
    <t>w_r</t>
  </si>
  <si>
    <t>Thickness of rail</t>
  </si>
  <si>
    <t>t_r</t>
  </si>
  <si>
    <t>Table Travel</t>
  </si>
  <si>
    <t>Loading</t>
  </si>
  <si>
    <t>m^4</t>
  </si>
  <si>
    <t>Moment of area of Table</t>
  </si>
  <si>
    <t>Moment of area of Rail</t>
  </si>
  <si>
    <t>I_t</t>
  </si>
  <si>
    <t>Elastic Modulus (Pa)</t>
  </si>
  <si>
    <t>rad</t>
  </si>
  <si>
    <t>Vertical displacement of table due to bending of rail</t>
  </si>
  <si>
    <t>Linear Stiffness of Desk</t>
  </si>
  <si>
    <t>k_lin</t>
  </si>
  <si>
    <t>N/m</t>
  </si>
  <si>
    <t>Torsional Stiffness of desk</t>
  </si>
  <si>
    <t>K_t</t>
  </si>
  <si>
    <t>Nm/rad</t>
  </si>
  <si>
    <t>Moment of Inertial of Table</t>
  </si>
  <si>
    <t>J</t>
  </si>
  <si>
    <t>kg.m^2</t>
  </si>
  <si>
    <t>Natural frequency of desk</t>
  </si>
  <si>
    <t>Hz</t>
  </si>
  <si>
    <t>Total Vertical Displacement</t>
  </si>
  <si>
    <t>delta_tot</t>
  </si>
  <si>
    <t>Desired stiffness</t>
  </si>
  <si>
    <t>k_des</t>
  </si>
  <si>
    <t>Required Stiffness multiplier</t>
  </si>
  <si>
    <t>Mass of table</t>
  </si>
  <si>
    <t>m_t</t>
  </si>
  <si>
    <t>kg</t>
  </si>
  <si>
    <t>Bearing Stiffness</t>
  </si>
  <si>
    <t>k_bear</t>
  </si>
  <si>
    <t>Max Loading</t>
  </si>
  <si>
    <t>Bearing Spacing</t>
  </si>
  <si>
    <t>gamma</t>
  </si>
  <si>
    <t>Length of Table</t>
  </si>
  <si>
    <t>Max structural deflection</t>
  </si>
  <si>
    <t>delta_tip</t>
  </si>
  <si>
    <t>Given Information</t>
  </si>
  <si>
    <t>Output</t>
  </si>
  <si>
    <t>Vertical Displacements</t>
  </si>
  <si>
    <t>Inputs</t>
  </si>
  <si>
    <t>Motor Specs</t>
  </si>
  <si>
    <t>Mechanical Properties</t>
  </si>
  <si>
    <t>Outputs</t>
  </si>
  <si>
    <t>Stiffness &amp; Frequency</t>
  </si>
  <si>
    <t>Use larger board, communicate with 2 boards</t>
  </si>
  <si>
    <t>Identify electronic components for the system</t>
  </si>
  <si>
    <t>Too much deflection</t>
  </si>
  <si>
    <t>Re-evaluate geometry of table</t>
  </si>
  <si>
    <t>Insufficient motor torque, relies on power supply</t>
  </si>
  <si>
    <t>Size motor with safety factor</t>
  </si>
  <si>
    <t>Stepper Motor</t>
  </si>
  <si>
    <t>Sturdy structure</t>
  </si>
  <si>
    <t>Insufficient motor torque</t>
  </si>
  <si>
    <t>Stiffness of bearing and structure at extreme heights</t>
  </si>
  <si>
    <t>Increase allowable error, change material, change geometry</t>
  </si>
  <si>
    <t>Too much load on lead screw</t>
  </si>
  <si>
    <t>Stress analysis to prevent axial load on motor</t>
  </si>
  <si>
    <t>Actuation speed of 15mm/s</t>
  </si>
  <si>
    <t>Suitable motor power</t>
  </si>
  <si>
    <t>Vibrations from fast travel</t>
  </si>
  <si>
    <t>Reduce vibrations by operating in the middle region of the lead screw</t>
  </si>
  <si>
    <t>Error Budgeting</t>
  </si>
  <si>
    <t>Error apportionment, error budget spreadhseets</t>
  </si>
  <si>
    <t>Pocket for whiteboard on table surface</t>
  </si>
  <si>
    <t>Effect on stiffness</t>
  </si>
  <si>
    <t>Fundamentals, spreadsheets</t>
  </si>
  <si>
    <t>Spreadsheets</t>
  </si>
  <si>
    <t>Fundamentals, Spreadsheets</t>
  </si>
  <si>
    <t>Required stiffness too high</t>
  </si>
  <si>
    <t xml:space="preserve">Reduces stiffness </t>
  </si>
  <si>
    <t>Re-evaluate location &amp; size of whiteboard</t>
  </si>
  <si>
    <t>Beam_Tapered_Thickness.xls</t>
  </si>
  <si>
    <t>To determine stress, deflection, &amp; spring constant of a tapered-thickness constant-width beam</t>
  </si>
  <si>
    <t>By Alex Slocum, 8/28/03, last modified 09/21/04 by Xue'en Yang</t>
  </si>
  <si>
    <r>
      <t xml:space="preserve">Enters numbers in </t>
    </r>
    <r>
      <rPr>
        <b/>
        <sz val="12"/>
        <rFont val="Times New Roman"/>
        <family val="1"/>
      </rPr>
      <t>BOLD,</t>
    </r>
    <r>
      <rPr>
        <sz val="12"/>
        <rFont val="Times New Roman"/>
        <family val="1"/>
      </rPr>
      <t xml:space="preserve"> Results in </t>
    </r>
    <r>
      <rPr>
        <b/>
        <sz val="12"/>
        <color indexed="10"/>
        <rFont val="Times New Roman"/>
        <family val="1"/>
      </rPr>
      <t>RED</t>
    </r>
  </si>
  <si>
    <t>Schematic</t>
  </si>
  <si>
    <t>Beam dimensions and properties</t>
  </si>
  <si>
    <t>Values</t>
  </si>
  <si>
    <t>ProE Simulation</t>
  </si>
  <si>
    <t>Force,  F (N, grams)</t>
  </si>
  <si>
    <t>Modulus,  E (N/mm^2)</t>
  </si>
  <si>
    <t>Width, b (mm)</t>
  </si>
  <si>
    <t>Thickness at end, te (mm)</t>
  </si>
  <si>
    <t>Thickness at base, tb (mm)</t>
  </si>
  <si>
    <t>Length, L (mm)</t>
  </si>
  <si>
    <t>Distance along beam (x=0=end), x (mm)</t>
  </si>
  <si>
    <t>Thickness slope, m</t>
  </si>
  <si>
    <t>Constant, c_1</t>
  </si>
  <si>
    <t>Max stress at base, maxs (N/mm^2)</t>
  </si>
  <si>
    <t>Max strain at base (%)</t>
  </si>
  <si>
    <t>Slope at beam end (radians)</t>
  </si>
  <si>
    <t>Deflection at beam end, defl (mm)</t>
  </si>
  <si>
    <t>Spring constant, k (N/mm)</t>
  </si>
  <si>
    <t>Comparative straight beam deflection</t>
  </si>
  <si>
    <t>Ratio of tapered/straight beam deflection</t>
  </si>
  <si>
    <t>Equations</t>
  </si>
  <si>
    <t>Table Top</t>
  </si>
  <si>
    <t>Base (3)</t>
  </si>
  <si>
    <t>L3</t>
  </si>
  <si>
    <t>d</t>
  </si>
  <si>
    <t>L1</t>
  </si>
  <si>
    <t>Base (4)</t>
  </si>
  <si>
    <t>Length of Member</t>
  </si>
  <si>
    <t xml:space="preserve">Length of Member </t>
  </si>
  <si>
    <t>L4</t>
  </si>
  <si>
    <t>Shear Modulus (Pa)</t>
  </si>
  <si>
    <t>Polar Moment of Area</t>
  </si>
  <si>
    <t>Moment of Area of Base (4)</t>
  </si>
  <si>
    <t>I4</t>
  </si>
  <si>
    <t>Width of member</t>
  </si>
  <si>
    <t>Thickness of member</t>
  </si>
  <si>
    <t>t4</t>
  </si>
  <si>
    <t>delta 2</t>
  </si>
  <si>
    <t>delta 1</t>
  </si>
  <si>
    <t>Theta 1</t>
  </si>
  <si>
    <t>Angular Deflections</t>
  </si>
  <si>
    <t>Angular deflection of rail</t>
  </si>
  <si>
    <t>Theta 2</t>
  </si>
  <si>
    <t>Angular deflection of Base (3)</t>
  </si>
  <si>
    <t>Theta 3</t>
  </si>
  <si>
    <t>Angular deflection of Base (4)</t>
  </si>
  <si>
    <t>Theta 4</t>
  </si>
  <si>
    <t>Angular deflection of truss</t>
  </si>
  <si>
    <t>Approx Diameter (assume circular)</t>
  </si>
  <si>
    <t>Vertical displacement of table due to bending of Base (3)</t>
  </si>
  <si>
    <t>Vertical displacement of table due to bending of Base (4)</t>
  </si>
  <si>
    <t>delta 3</t>
  </si>
  <si>
    <t>delta 4</t>
  </si>
  <si>
    <t>mm</t>
  </si>
  <si>
    <t>N/mm</t>
  </si>
  <si>
    <t>Desired Deflection and Stiffness</t>
  </si>
  <si>
    <t>Desired Vertical Deflection</t>
  </si>
  <si>
    <t>delta_des</t>
  </si>
  <si>
    <t>b4</t>
  </si>
  <si>
    <t>b3</t>
  </si>
  <si>
    <t>t3</t>
  </si>
  <si>
    <t>https://en.wikipedia.org/wiki/Torsion_constant</t>
  </si>
  <si>
    <t>Torsional Constant</t>
  </si>
  <si>
    <t>b3/t3</t>
  </si>
  <si>
    <t>beta</t>
  </si>
  <si>
    <t>Moment of inertia I (mm^4)</t>
  </si>
  <si>
    <t>Moment of area of Tapered Table</t>
  </si>
  <si>
    <t>I</t>
  </si>
  <si>
    <t>http://www.makeitfrom.com/material-properties/Spruce-Pine-Fir-SPF-Softwood</t>
  </si>
  <si>
    <t>Truss? (1 for Truss ,0 for regular)</t>
  </si>
  <si>
    <t>Vertical dispalcement of table due to bending of table top</t>
  </si>
  <si>
    <t>Applied Load</t>
  </si>
  <si>
    <t>Weight of Table Top</t>
  </si>
  <si>
    <t>Weight of Rail</t>
  </si>
  <si>
    <t>Weight of Base 3</t>
  </si>
  <si>
    <t>Weight of Base 4</t>
  </si>
  <si>
    <t>Length of Base 4</t>
  </si>
  <si>
    <t>Reaction Force Rb</t>
  </si>
  <si>
    <t>Reaction Force Ra</t>
  </si>
  <si>
    <t>Ar=B</t>
  </si>
  <si>
    <t xml:space="preserve">A </t>
  </si>
  <si>
    <t>B</t>
  </si>
  <si>
    <t>W1</t>
  </si>
  <si>
    <t>W2</t>
  </si>
  <si>
    <t>W3</t>
  </si>
  <si>
    <t>W4</t>
  </si>
  <si>
    <t>A^-1</t>
  </si>
  <si>
    <t>Forces</t>
  </si>
  <si>
    <t>Lengths</t>
  </si>
  <si>
    <t>Calculations</t>
  </si>
  <si>
    <t>Widths</t>
  </si>
  <si>
    <t>Width of Table</t>
  </si>
  <si>
    <t>w1</t>
  </si>
  <si>
    <t>Tipping Sideways</t>
  </si>
  <si>
    <t>Tipping Forward</t>
  </si>
  <si>
    <t>Length of Base 3</t>
  </si>
  <si>
    <t>Reaction Force Rc</t>
  </si>
  <si>
    <t>Reaction Force 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</si>
</sst>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0.000"/>
    <numFmt numFmtId="165" formatCode="0.0"/>
  </numFmts>
  <fonts count="25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Times New Roman"/>
      <family val="1"/>
    </font>
    <font>
      <b/>
      <sz val="10"/>
      <color indexed="10"/>
      <name val="Times New Roman"/>
      <family val="1"/>
    </font>
    <font>
      <b/>
      <sz val="10"/>
      <name val="Arial"/>
      <family val="2"/>
    </font>
    <font>
      <i/>
      <sz val="10"/>
      <name val="Arial"/>
      <family val="2"/>
    </font>
    <font>
      <sz val="10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b/>
      <sz val="12"/>
      <name val="Times New Roman"/>
      <family val="1"/>
    </font>
    <font>
      <b/>
      <sz val="12"/>
      <color indexed="10"/>
      <name val="Times New Roman"/>
      <family val="1"/>
    </font>
    <font>
      <b/>
      <sz val="10"/>
      <color indexed="12"/>
      <name val="Times New Roman"/>
      <family val="1"/>
    </font>
    <font>
      <sz val="10"/>
      <color indexed="12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151">
    <xf numFmtId="0" fontId="0" fillId="0" borderId="0" xfId="0"/>
    <xf numFmtId="0" fontId="0" fillId="0" borderId="1" xfId="0" applyBorder="1"/>
    <xf numFmtId="0" fontId="4" fillId="0" borderId="1" xfId="0" applyFont="1" applyBorder="1"/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right"/>
    </xf>
    <xf numFmtId="164" fontId="6" fillId="0" borderId="1" xfId="0" applyNumberFormat="1" applyFont="1" applyBorder="1"/>
    <xf numFmtId="0" fontId="6" fillId="0" borderId="1" xfId="0" applyFont="1" applyBorder="1" applyAlignment="1">
      <alignment horizontal="right"/>
    </xf>
    <xf numFmtId="164" fontId="6" fillId="0" borderId="1" xfId="0" applyNumberFormat="1" applyFont="1" applyBorder="1" applyAlignment="1">
      <alignment horizontal="right"/>
    </xf>
    <xf numFmtId="0" fontId="0" fillId="4" borderId="1" xfId="0" applyFill="1" applyBorder="1"/>
    <xf numFmtId="0" fontId="6" fillId="0" borderId="1" xfId="0" applyFont="1" applyBorder="1"/>
    <xf numFmtId="0" fontId="0" fillId="0" borderId="0" xfId="0" applyAlignment="1">
      <alignment horizontal="center" vertical="center"/>
    </xf>
    <xf numFmtId="0" fontId="0" fillId="0" borderId="0" xfId="0" applyAlignment="1">
      <alignment horizontal="left" indent="1"/>
    </xf>
    <xf numFmtId="0" fontId="9" fillId="0" borderId="0" xfId="0" applyFont="1"/>
    <xf numFmtId="0" fontId="9" fillId="0" borderId="0" xfId="0" applyFont="1" applyAlignment="1">
      <alignment horizontal="left"/>
    </xf>
    <xf numFmtId="0" fontId="0" fillId="0" borderId="0" xfId="0" applyAlignment="1">
      <alignment horizontal="left" vertical="center"/>
    </xf>
    <xf numFmtId="0" fontId="0" fillId="6" borderId="0" xfId="0" applyFill="1" applyAlignment="1">
      <alignment horizontal="left" indent="1"/>
    </xf>
    <xf numFmtId="0" fontId="0" fillId="6" borderId="0" xfId="0" applyFill="1"/>
    <xf numFmtId="0" fontId="0" fillId="0" borderId="1" xfId="0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1" fontId="10" fillId="0" borderId="0" xfId="0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0" fontId="9" fillId="0" borderId="1" xfId="0" applyFont="1" applyBorder="1"/>
    <xf numFmtId="0" fontId="0" fillId="0" borderId="1" xfId="0" applyBorder="1" applyAlignment="1">
      <alignment horizontal="left" indent="1"/>
    </xf>
    <xf numFmtId="2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left"/>
    </xf>
    <xf numFmtId="0" fontId="10" fillId="0" borderId="1" xfId="0" applyFont="1" applyFill="1" applyBorder="1" applyAlignment="1">
      <alignment horizontal="center"/>
    </xf>
    <xf numFmtId="0" fontId="9" fillId="0" borderId="1" xfId="0" applyFont="1" applyBorder="1" applyAlignment="1">
      <alignment horizontal="left" indent="1"/>
    </xf>
    <xf numFmtId="1" fontId="10" fillId="5" borderId="1" xfId="0" applyNumberFormat="1" applyFont="1" applyFill="1" applyBorder="1" applyAlignment="1">
      <alignment horizontal="center"/>
    </xf>
    <xf numFmtId="0" fontId="0" fillId="6" borderId="1" xfId="0" applyFill="1" applyBorder="1" applyAlignment="1">
      <alignment horizontal="left" indent="1"/>
    </xf>
    <xf numFmtId="0" fontId="0" fillId="6" borderId="1" xfId="0" applyFill="1" applyBorder="1" applyAlignment="1">
      <alignment horizontal="center"/>
    </xf>
    <xf numFmtId="1" fontId="0" fillId="6" borderId="1" xfId="0" applyNumberFormat="1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indent="1"/>
    </xf>
    <xf numFmtId="0" fontId="0" fillId="0" borderId="1" xfId="0" applyBorder="1" applyAlignment="1">
      <alignment horizontal="left" vertical="center" indent="2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 indent="1"/>
    </xf>
    <xf numFmtId="0" fontId="0" fillId="0" borderId="1" xfId="0" applyBorder="1" applyAlignment="1">
      <alignment horizontal="left" vertical="center"/>
    </xf>
    <xf numFmtId="2" fontId="0" fillId="0" borderId="1" xfId="0" applyNumberForma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0" fillId="0" borderId="1" xfId="0" applyFill="1" applyBorder="1" applyAlignment="1">
      <alignment horizontal="left" indent="1"/>
    </xf>
    <xf numFmtId="0" fontId="15" fillId="7" borderId="0" xfId="0" applyFont="1" applyFill="1"/>
    <xf numFmtId="0" fontId="15" fillId="0" borderId="0" xfId="0" applyFont="1" applyFill="1"/>
    <xf numFmtId="0" fontId="15" fillId="0" borderId="0" xfId="0" applyFont="1"/>
    <xf numFmtId="0" fontId="15" fillId="7" borderId="0" xfId="0" applyFont="1" applyFill="1" applyBorder="1"/>
    <xf numFmtId="0" fontId="15" fillId="7" borderId="0" xfId="0" applyFont="1" applyFill="1" applyBorder="1" applyAlignment="1"/>
    <xf numFmtId="0" fontId="15" fillId="0" borderId="0" xfId="0" applyFont="1" applyFill="1" applyBorder="1"/>
    <xf numFmtId="0" fontId="15" fillId="0" borderId="0" xfId="0" applyFont="1" applyBorder="1"/>
    <xf numFmtId="0" fontId="20" fillId="7" borderId="0" xfId="0" applyFont="1" applyFill="1" applyBorder="1" applyAlignment="1">
      <alignment horizontal="right"/>
    </xf>
    <xf numFmtId="0" fontId="15" fillId="7" borderId="0" xfId="0" applyFont="1" applyFill="1" applyBorder="1" applyAlignment="1">
      <alignment horizontal="center"/>
    </xf>
    <xf numFmtId="0" fontId="20" fillId="0" borderId="14" xfId="0" applyFont="1" applyBorder="1"/>
    <xf numFmtId="0" fontId="20" fillId="0" borderId="15" xfId="0" applyFont="1" applyBorder="1" applyAlignment="1">
      <alignment horizontal="center"/>
    </xf>
    <xf numFmtId="1" fontId="20" fillId="8" borderId="16" xfId="0" applyNumberFormat="1" applyFont="1" applyFill="1" applyBorder="1" applyAlignment="1">
      <alignment horizontal="center"/>
    </xf>
    <xf numFmtId="0" fontId="2" fillId="0" borderId="17" xfId="0" applyFont="1" applyFill="1" applyBorder="1"/>
    <xf numFmtId="0" fontId="20" fillId="8" borderId="16" xfId="0" applyFont="1" applyFill="1" applyBorder="1" applyAlignment="1">
      <alignment horizontal="center"/>
    </xf>
    <xf numFmtId="1" fontId="1" fillId="0" borderId="18" xfId="0" applyNumberFormat="1" applyFont="1" applyFill="1" applyBorder="1" applyAlignment="1">
      <alignment horizontal="center"/>
    </xf>
    <xf numFmtId="165" fontId="1" fillId="0" borderId="18" xfId="0" applyNumberFormat="1" applyFont="1" applyFill="1" applyBorder="1" applyAlignment="1">
      <alignment horizontal="center"/>
    </xf>
    <xf numFmtId="165" fontId="20" fillId="8" borderId="16" xfId="0" applyNumberFormat="1" applyFont="1" applyFill="1" applyBorder="1" applyAlignment="1">
      <alignment horizontal="center"/>
    </xf>
    <xf numFmtId="164" fontId="3" fillId="0" borderId="18" xfId="0" applyNumberFormat="1" applyFont="1" applyFill="1" applyBorder="1" applyAlignment="1">
      <alignment horizontal="center"/>
    </xf>
    <xf numFmtId="0" fontId="21" fillId="8" borderId="16" xfId="0" applyFont="1" applyFill="1" applyBorder="1" applyAlignment="1">
      <alignment horizontal="center"/>
    </xf>
    <xf numFmtId="0" fontId="3" fillId="0" borderId="18" xfId="0" applyNumberFormat="1" applyFont="1" applyFill="1" applyBorder="1" applyAlignment="1">
      <alignment horizontal="center"/>
    </xf>
    <xf numFmtId="0" fontId="3" fillId="0" borderId="18" xfId="0" applyFont="1" applyFill="1" applyBorder="1" applyAlignment="1">
      <alignment horizontal="center"/>
    </xf>
    <xf numFmtId="0" fontId="3" fillId="0" borderId="18" xfId="1" applyNumberFormat="1" applyFont="1" applyFill="1" applyBorder="1" applyAlignment="1">
      <alignment horizontal="center"/>
    </xf>
    <xf numFmtId="0" fontId="20" fillId="8" borderId="16" xfId="1" applyNumberFormat="1" applyFont="1" applyFill="1" applyBorder="1" applyAlignment="1">
      <alignment horizontal="center"/>
    </xf>
    <xf numFmtId="164" fontId="3" fillId="0" borderId="18" xfId="2" applyNumberFormat="1" applyFont="1" applyFill="1" applyBorder="1" applyAlignment="1">
      <alignment horizontal="center"/>
    </xf>
    <xf numFmtId="164" fontId="20" fillId="8" borderId="16" xfId="0" applyNumberFormat="1" applyFont="1" applyFill="1" applyBorder="1" applyAlignment="1">
      <alignment horizontal="center"/>
    </xf>
    <xf numFmtId="0" fontId="2" fillId="0" borderId="19" xfId="0" applyFont="1" applyFill="1" applyBorder="1"/>
    <xf numFmtId="164" fontId="3" fillId="0" borderId="20" xfId="0" applyNumberFormat="1" applyFont="1" applyFill="1" applyBorder="1" applyAlignment="1">
      <alignment horizontal="center"/>
    </xf>
    <xf numFmtId="0" fontId="20" fillId="7" borderId="0" xfId="0" applyFont="1" applyFill="1"/>
    <xf numFmtId="0" fontId="0" fillId="7" borderId="0" xfId="0" applyFill="1"/>
    <xf numFmtId="0" fontId="0" fillId="0" borderId="0" xfId="0" applyFill="1"/>
    <xf numFmtId="0" fontId="22" fillId="0" borderId="0" xfId="3" applyAlignment="1">
      <alignment horizontal="left" vertical="center"/>
    </xf>
    <xf numFmtId="0" fontId="14" fillId="0" borderId="1" xfId="0" applyFont="1" applyBorder="1" applyAlignment="1">
      <alignment horizontal="left" vertical="center" indent="2"/>
    </xf>
    <xf numFmtId="0" fontId="14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indent="1"/>
    </xf>
    <xf numFmtId="2" fontId="1" fillId="0" borderId="18" xfId="0" applyNumberFormat="1" applyFont="1" applyFill="1" applyBorder="1" applyAlignment="1">
      <alignment horizontal="center"/>
    </xf>
    <xf numFmtId="0" fontId="9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 indent="1"/>
    </xf>
    <xf numFmtId="0" fontId="14" fillId="0" borderId="0" xfId="0" applyFont="1" applyAlignment="1">
      <alignment horizontal="center" vertical="center"/>
    </xf>
    <xf numFmtId="0" fontId="14" fillId="0" borderId="1" xfId="0" applyFont="1" applyBorder="1" applyAlignment="1">
      <alignment horizontal="left" vertical="center" wrapText="1" indent="1"/>
    </xf>
    <xf numFmtId="164" fontId="14" fillId="0" borderId="1" xfId="0" applyNumberFormat="1" applyFont="1" applyBorder="1" applyAlignment="1">
      <alignment horizontal="center" vertical="center"/>
    </xf>
    <xf numFmtId="0" fontId="23" fillId="9" borderId="1" xfId="0" applyFont="1" applyFill="1" applyBorder="1" applyAlignment="1">
      <alignment horizontal="left" vertical="center" indent="1"/>
    </xf>
    <xf numFmtId="0" fontId="23" fillId="9" borderId="1" xfId="0" applyFont="1" applyFill="1" applyBorder="1" applyAlignment="1">
      <alignment horizontal="center" vertical="center"/>
    </xf>
    <xf numFmtId="164" fontId="23" fillId="9" borderId="1" xfId="0" applyNumberFormat="1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left" vertical="center" indent="1"/>
    </xf>
    <xf numFmtId="0" fontId="14" fillId="9" borderId="1" xfId="0" applyFont="1" applyFill="1" applyBorder="1" applyAlignment="1">
      <alignment horizontal="center" vertical="center"/>
    </xf>
    <xf numFmtId="165" fontId="14" fillId="9" borderId="1" xfId="0" applyNumberFormat="1" applyFont="1" applyFill="1" applyBorder="1" applyAlignment="1">
      <alignment horizontal="center" vertical="center"/>
    </xf>
    <xf numFmtId="165" fontId="23" fillId="9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left" vertical="center" indent="1"/>
    </xf>
    <xf numFmtId="0" fontId="10" fillId="0" borderId="1" xfId="0" applyFont="1" applyBorder="1" applyAlignment="1">
      <alignment horizontal="left" vertical="center" indent="2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left" vertical="center" indent="3"/>
    </xf>
    <xf numFmtId="0" fontId="0" fillId="0" borderId="1" xfId="0" applyFont="1" applyBorder="1" applyAlignment="1">
      <alignment horizontal="left" vertical="center" indent="2"/>
    </xf>
    <xf numFmtId="0" fontId="0" fillId="0" borderId="1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5" fillId="3" borderId="2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16" fillId="8" borderId="6" xfId="0" applyFont="1" applyFill="1" applyBorder="1" applyAlignment="1">
      <alignment horizontal="center"/>
    </xf>
    <xf numFmtId="0" fontId="17" fillId="8" borderId="7" xfId="0" applyFont="1" applyFill="1" applyBorder="1" applyAlignment="1">
      <alignment horizontal="center"/>
    </xf>
    <xf numFmtId="0" fontId="17" fillId="8" borderId="8" xfId="0" applyFont="1" applyFill="1" applyBorder="1" applyAlignment="1">
      <alignment horizontal="center"/>
    </xf>
    <xf numFmtId="0" fontId="2" fillId="8" borderId="9" xfId="0" applyFont="1" applyFill="1" applyBorder="1" applyAlignment="1">
      <alignment horizontal="center" wrapText="1"/>
    </xf>
    <xf numFmtId="0" fontId="2" fillId="8" borderId="0" xfId="0" applyFont="1" applyFill="1" applyBorder="1" applyAlignment="1">
      <alignment horizontal="center" wrapText="1"/>
    </xf>
    <xf numFmtId="0" fontId="2" fillId="8" borderId="10" xfId="0" applyFont="1" applyFill="1" applyBorder="1" applyAlignment="1">
      <alignment horizontal="center" wrapText="1"/>
    </xf>
    <xf numFmtId="0" fontId="2" fillId="8" borderId="9" xfId="0" applyFont="1" applyFill="1" applyBorder="1" applyAlignment="1">
      <alignment horizontal="center"/>
    </xf>
    <xf numFmtId="0" fontId="2" fillId="8" borderId="0" xfId="0" applyFont="1" applyFill="1" applyBorder="1" applyAlignment="1">
      <alignment horizontal="center"/>
    </xf>
    <xf numFmtId="0" fontId="2" fillId="8" borderId="10" xfId="0" applyFont="1" applyFill="1" applyBorder="1" applyAlignment="1">
      <alignment horizontal="center"/>
    </xf>
    <xf numFmtId="0" fontId="2" fillId="8" borderId="11" xfId="0" applyFont="1" applyFill="1" applyBorder="1" applyAlignment="1">
      <alignment horizontal="center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0" fontId="0" fillId="0" borderId="22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28" xfId="0" applyFill="1" applyBorder="1" applyAlignment="1">
      <alignment horizontal="center"/>
    </xf>
    <xf numFmtId="0" fontId="9" fillId="0" borderId="1" xfId="0" applyFont="1" applyBorder="1" applyAlignment="1">
      <alignment horizontal="left" vertical="center" indent="2"/>
    </xf>
    <xf numFmtId="0" fontId="9" fillId="0" borderId="1" xfId="0" applyFont="1" applyBorder="1" applyAlignment="1">
      <alignment horizontal="center" vertical="center"/>
    </xf>
    <xf numFmtId="0" fontId="0" fillId="0" borderId="24" xfId="0" applyBorder="1"/>
    <xf numFmtId="0" fontId="0" fillId="0" borderId="25" xfId="0" applyBorder="1"/>
    <xf numFmtId="0" fontId="0" fillId="0" borderId="29" xfId="0" applyBorder="1"/>
    <xf numFmtId="0" fontId="0" fillId="6" borderId="1" xfId="0" applyFill="1" applyBorder="1"/>
    <xf numFmtId="0" fontId="10" fillId="0" borderId="1" xfId="0" applyFont="1" applyBorder="1" applyAlignment="1">
      <alignment horizontal="left" indent="1"/>
    </xf>
    <xf numFmtId="0" fontId="10" fillId="0" borderId="1" xfId="0" applyFont="1" applyBorder="1"/>
    <xf numFmtId="0" fontId="0" fillId="0" borderId="1" xfId="0" applyFont="1" applyBorder="1" applyAlignment="1">
      <alignment horizontal="left" indent="1"/>
    </xf>
    <xf numFmtId="0" fontId="0" fillId="0" borderId="1" xfId="0" applyFont="1" applyBorder="1"/>
    <xf numFmtId="0" fontId="14" fillId="0" borderId="1" xfId="0" applyFont="1" applyBorder="1" applyAlignment="1">
      <alignment horizontal="left" indent="1"/>
    </xf>
    <xf numFmtId="0" fontId="14" fillId="0" borderId="1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left"/>
    </xf>
    <xf numFmtId="0" fontId="24" fillId="0" borderId="0" xfId="0" applyFont="1" applyBorder="1" applyAlignment="1">
      <alignment horizontal="left"/>
    </xf>
    <xf numFmtId="0" fontId="14" fillId="0" borderId="0" xfId="0" applyFont="1" applyBorder="1" applyAlignment="1">
      <alignment horizontal="left" indent="1"/>
    </xf>
    <xf numFmtId="0" fontId="14" fillId="0" borderId="0" xfId="0" applyFont="1" applyBorder="1"/>
    <xf numFmtId="0" fontId="0" fillId="10" borderId="1" xfId="0" applyFill="1" applyBorder="1" applyAlignment="1">
      <alignment horizontal="left" indent="1"/>
    </xf>
    <xf numFmtId="0" fontId="0" fillId="10" borderId="1" xfId="0" applyFill="1" applyBorder="1"/>
  </cellXfs>
  <cellStyles count="4">
    <cellStyle name="Comma" xfId="1" builtinId="3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4.png"/><Relationship Id="rId7" Type="http://schemas.openxmlformats.org/officeDocument/2006/relationships/image" Target="../media/image6.jpeg"/><Relationship Id="rId2" Type="http://schemas.microsoft.com/office/2007/relationships/hdphoto" Target="../media/hdphoto1.wdp"/><Relationship Id="rId1" Type="http://schemas.openxmlformats.org/officeDocument/2006/relationships/image" Target="../media/image3.png"/><Relationship Id="rId6" Type="http://schemas.microsoft.com/office/2007/relationships/hdphoto" Target="../media/hdphoto3.wdp"/><Relationship Id="rId5" Type="http://schemas.openxmlformats.org/officeDocument/2006/relationships/image" Target="../media/image5.png"/><Relationship Id="rId4" Type="http://schemas.microsoft.com/office/2007/relationships/hdphoto" Target="../media/hdphoto2.wdp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235323</xdr:colOff>
      <xdr:row>0</xdr:row>
      <xdr:rowOff>112059</xdr:rowOff>
    </xdr:from>
    <xdr:to>
      <xdr:col>14</xdr:col>
      <xdr:colOff>381000</xdr:colOff>
      <xdr:row>7</xdr:row>
      <xdr:rowOff>383402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24" t="14260" r="4154" b="51204"/>
        <a:stretch/>
      </xdr:blipFill>
      <xdr:spPr>
        <a:xfrm>
          <a:off x="10130117" y="112059"/>
          <a:ext cx="4986618" cy="34738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278751</xdr:colOff>
      <xdr:row>0</xdr:row>
      <xdr:rowOff>0</xdr:rowOff>
    </xdr:from>
    <xdr:to>
      <xdr:col>12</xdr:col>
      <xdr:colOff>426099</xdr:colOff>
      <xdr:row>15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865" r="13803"/>
        <a:stretch/>
      </xdr:blipFill>
      <xdr:spPr>
        <a:xfrm rot="5400000">
          <a:off x="5181600" y="-1064274"/>
          <a:ext cx="2895600" cy="5024148"/>
        </a:xfrm>
        <a:prstGeom prst="rect">
          <a:avLst/>
        </a:prstGeom>
      </xdr:spPr>
    </xdr:pic>
    <xdr:clientData/>
  </xdr:twoCellAnchor>
  <xdr:oneCellAnchor>
    <xdr:from>
      <xdr:col>1</xdr:col>
      <xdr:colOff>200025</xdr:colOff>
      <xdr:row>1</xdr:row>
      <xdr:rowOff>0</xdr:rowOff>
    </xdr:from>
    <xdr:ext cx="219227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TextBox 2">
              <a:extLst>
                <a:ext uri="{FF2B5EF4-FFF2-40B4-BE49-F238E27FC236}">
                  <a16:creationId xmlns:a16="http://schemas.microsoft.com/office/drawing/2014/main" id="{00000000-0008-0000-0200-000003000000}"/>
                </a:ext>
              </a:extLst>
            </xdr:cNvPr>
            <xdr:cNvSpPr txBox="1"/>
          </xdr:nvSpPr>
          <xdr:spPr>
            <a:xfrm>
              <a:off x="2047875" y="190500"/>
              <a:ext cx="21922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en-US" sz="11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𝛿</m:t>
                        </m:r>
                      </m:e>
                      <m:sub>
                        <m:r>
                          <a:rPr lang="en-US" sz="1100" b="0" i="1">
                            <a:latin typeface="Cambria Math" panose="02040503050406030204" pitchFamily="18" charset="0"/>
                          </a:rPr>
                          <m:t>𝑟𝑐</m:t>
                        </m:r>
                      </m:sub>
                    </m:sSub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3" name="TextBox 2"/>
            <xdr:cNvSpPr txBox="1"/>
          </xdr:nvSpPr>
          <xdr:spPr>
            <a:xfrm>
              <a:off x="2047875" y="190500"/>
              <a:ext cx="219227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𝛿_𝑟𝑐</a:t>
              </a:r>
              <a:endParaRPr lang="en-US" sz="1100"/>
            </a:p>
          </xdr:txBody>
        </xdr:sp>
      </mc:Fallback>
    </mc:AlternateContent>
    <xdr:clientData/>
  </xdr:oneCellAnchor>
  <xdr:oneCellAnchor>
    <xdr:from>
      <xdr:col>1</xdr:col>
      <xdr:colOff>228600</xdr:colOff>
      <xdr:row>7</xdr:row>
      <xdr:rowOff>9525</xdr:rowOff>
    </xdr:from>
    <xdr:ext cx="161925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TextBox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 txBox="1"/>
          </xdr:nvSpPr>
          <xdr:spPr>
            <a:xfrm>
              <a:off x="2076450" y="1343025"/>
              <a:ext cx="16192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n-US" sz="1100" b="0" i="1">
                        <a:latin typeface="Cambria Math" panose="02040503050406030204" pitchFamily="18" charset="0"/>
                      </a:rPr>
                      <m:t>𝜖</m:t>
                    </m:r>
                  </m:oMath>
                </m:oMathPara>
              </a14:m>
              <a:endParaRPr lang="en-US" sz="1100"/>
            </a:p>
          </xdr:txBody>
        </xdr:sp>
      </mc:Choice>
      <mc:Fallback xmlns="">
        <xdr:sp macro="" textlink="">
          <xdr:nvSpPr>
            <xdr:cNvPr id="4" name="TextBox 3"/>
            <xdr:cNvSpPr txBox="1"/>
          </xdr:nvSpPr>
          <xdr:spPr>
            <a:xfrm>
              <a:off x="2076450" y="1343025"/>
              <a:ext cx="161925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en-US" sz="1100" b="0" i="0">
                  <a:latin typeface="Cambria Math" panose="02040503050406030204" pitchFamily="18" charset="0"/>
                </a:rPr>
                <a:t>𝜖</a:t>
              </a:r>
              <a:endParaRPr lang="en-US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329419</xdr:colOff>
      <xdr:row>8</xdr:row>
      <xdr:rowOff>129599</xdr:rowOff>
    </xdr:from>
    <xdr:to>
      <xdr:col>9</xdr:col>
      <xdr:colOff>382345</xdr:colOff>
      <xdr:row>25</xdr:row>
      <xdr:rowOff>133337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E24099F-57B1-42A9-8867-29C7C09A54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5000" contrast="3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4668" b="35289"/>
        <a:stretch/>
      </xdr:blipFill>
      <xdr:spPr>
        <a:xfrm>
          <a:off x="5741860" y="1463099"/>
          <a:ext cx="3056103" cy="3242238"/>
        </a:xfrm>
        <a:prstGeom prst="rect">
          <a:avLst/>
        </a:prstGeom>
      </xdr:spPr>
    </xdr:pic>
    <xdr:clientData/>
  </xdr:twoCellAnchor>
  <xdr:twoCellAnchor editAs="oneCell">
    <xdr:from>
      <xdr:col>11</xdr:col>
      <xdr:colOff>565166</xdr:colOff>
      <xdr:row>7</xdr:row>
      <xdr:rowOff>67235</xdr:rowOff>
    </xdr:from>
    <xdr:to>
      <xdr:col>18</xdr:col>
      <xdr:colOff>353135</xdr:colOff>
      <xdr:row>27</xdr:row>
      <xdr:rowOff>15707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582F79A-529B-4621-95DB-2BD3E0B9A7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1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419" r="28004"/>
        <a:stretch/>
      </xdr:blipFill>
      <xdr:spPr>
        <a:xfrm rot="5400000">
          <a:off x="10323679" y="1268075"/>
          <a:ext cx="3758472" cy="4023792"/>
        </a:xfrm>
        <a:prstGeom prst="rect">
          <a:avLst/>
        </a:prstGeom>
      </xdr:spPr>
    </xdr:pic>
    <xdr:clientData/>
  </xdr:twoCellAnchor>
  <xdr:twoCellAnchor editAs="oneCell">
    <xdr:from>
      <xdr:col>4</xdr:col>
      <xdr:colOff>204106</xdr:colOff>
      <xdr:row>42</xdr:row>
      <xdr:rowOff>182218</xdr:rowOff>
    </xdr:from>
    <xdr:to>
      <xdr:col>8</xdr:col>
      <xdr:colOff>508197</xdr:colOff>
      <xdr:row>47</xdr:row>
      <xdr:rowOff>221855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6756E28-1658-4057-8842-1845952F09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rightnessContrast bright="15000" contrast="1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33470" r="2954" b="48182"/>
        <a:stretch/>
      </xdr:blipFill>
      <xdr:spPr>
        <a:xfrm>
          <a:off x="4262584" y="6849718"/>
          <a:ext cx="4089243" cy="1373137"/>
        </a:xfrm>
        <a:prstGeom prst="rect">
          <a:avLst/>
        </a:prstGeom>
      </xdr:spPr>
    </xdr:pic>
    <xdr:clientData/>
  </xdr:twoCellAnchor>
  <xdr:twoCellAnchor editAs="oneCell">
    <xdr:from>
      <xdr:col>4</xdr:col>
      <xdr:colOff>81418</xdr:colOff>
      <xdr:row>26</xdr:row>
      <xdr:rowOff>17773</xdr:rowOff>
    </xdr:from>
    <xdr:to>
      <xdr:col>8</xdr:col>
      <xdr:colOff>434866</xdr:colOff>
      <xdr:row>36</xdr:row>
      <xdr:rowOff>35095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3CF5D5-8E24-4985-BB62-73A3FC01C0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47" r="6764" b="4048"/>
        <a:stretch/>
      </xdr:blipFill>
      <xdr:spPr>
        <a:xfrm rot="16200000">
          <a:off x="5235819" y="3673997"/>
          <a:ext cx="1922322" cy="4134873"/>
        </a:xfrm>
        <a:prstGeom prst="rect">
          <a:avLst/>
        </a:prstGeom>
      </xdr:spPr>
    </xdr:pic>
    <xdr:clientData/>
  </xdr:twoCellAnchor>
  <xdr:twoCellAnchor editAs="oneCell">
    <xdr:from>
      <xdr:col>4</xdr:col>
      <xdr:colOff>153661</xdr:colOff>
      <xdr:row>47</xdr:row>
      <xdr:rowOff>293209</xdr:rowOff>
    </xdr:from>
    <xdr:to>
      <xdr:col>11</xdr:col>
      <xdr:colOff>412714</xdr:colOff>
      <xdr:row>63</xdr:row>
      <xdr:rowOff>168091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C801934-4684-48B0-A69A-C8A3B0E3D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5461232" y="8354256"/>
          <a:ext cx="3303882" cy="585078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57150</xdr:colOff>
          <xdr:row>35</xdr:row>
          <xdr:rowOff>76200</xdr:rowOff>
        </xdr:from>
        <xdr:to>
          <xdr:col>4</xdr:col>
          <xdr:colOff>104775</xdr:colOff>
          <xdr:row>43</xdr:row>
          <xdr:rowOff>66675</xdr:rowOff>
        </xdr:to>
        <xdr:sp macro="" textlink="">
          <xdr:nvSpPr>
            <xdr:cNvPr id="10244" name="Object 4" hidden="1">
              <a:extLst>
                <a:ext uri="{63B3BB69-23CF-44E3-9099-C40C66FF867C}">
                  <a14:compatExt spid="_x0000_s10244"/>
                </a:ext>
                <a:ext uri="{FF2B5EF4-FFF2-40B4-BE49-F238E27FC236}">
                  <a16:creationId xmlns:a16="http://schemas.microsoft.com/office/drawing/2014/main" id="{00000000-0008-0000-0500-000004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581025</xdr:colOff>
          <xdr:row>43</xdr:row>
          <xdr:rowOff>19050</xdr:rowOff>
        </xdr:from>
        <xdr:to>
          <xdr:col>2</xdr:col>
          <xdr:colOff>619125</xdr:colOff>
          <xdr:row>50</xdr:row>
          <xdr:rowOff>0</xdr:rowOff>
        </xdr:to>
        <xdr:sp macro="" textlink="">
          <xdr:nvSpPr>
            <xdr:cNvPr id="10245" name="Object 5" hidden="1">
              <a:extLst>
                <a:ext uri="{63B3BB69-23CF-44E3-9099-C40C66FF867C}">
                  <a14:compatExt spid="_x0000_s10245"/>
                </a:ext>
                <a:ext uri="{FF2B5EF4-FFF2-40B4-BE49-F238E27FC236}">
                  <a16:creationId xmlns:a16="http://schemas.microsoft.com/office/drawing/2014/main" id="{00000000-0008-0000-0500-000005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171450</xdr:colOff>
          <xdr:row>6</xdr:row>
          <xdr:rowOff>0</xdr:rowOff>
        </xdr:from>
        <xdr:to>
          <xdr:col>5</xdr:col>
          <xdr:colOff>600075</xdr:colOff>
          <xdr:row>13</xdr:row>
          <xdr:rowOff>190500</xdr:rowOff>
        </xdr:to>
        <xdr:sp macro="" textlink="">
          <xdr:nvSpPr>
            <xdr:cNvPr id="10246" name="Object 6" hidden="1">
              <a:extLst>
                <a:ext uri="{63B3BB69-23CF-44E3-9099-C40C66FF867C}">
                  <a14:compatExt spid="_x0000_s10246"/>
                </a:ext>
                <a:ext uri="{FF2B5EF4-FFF2-40B4-BE49-F238E27FC236}">
                  <a16:creationId xmlns:a16="http://schemas.microsoft.com/office/drawing/2014/main" id="{00000000-0008-0000-0500-0000062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419102</xdr:colOff>
      <xdr:row>0</xdr:row>
      <xdr:rowOff>0</xdr:rowOff>
    </xdr:from>
    <xdr:to>
      <xdr:col>12</xdr:col>
      <xdr:colOff>38100</xdr:colOff>
      <xdr:row>18</xdr:row>
      <xdr:rowOff>77673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90" b="11982"/>
        <a:stretch/>
      </xdr:blipFill>
      <xdr:spPr>
        <a:xfrm rot="16200000">
          <a:off x="4399814" y="-494562"/>
          <a:ext cx="3506673" cy="449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en.wikipedia.org/wiki/Torsion_constant" TargetMode="External"/><Relationship Id="rId7" Type="http://schemas.openxmlformats.org/officeDocument/2006/relationships/comments" Target="../comments2.xml"/><Relationship Id="rId2" Type="http://schemas.openxmlformats.org/officeDocument/2006/relationships/hyperlink" Target="https://www.forestindustries.fi/mediabank/887.pdf" TargetMode="External"/><Relationship Id="rId1" Type="http://schemas.openxmlformats.org/officeDocument/2006/relationships/hyperlink" Target="https://www.forestindustries.fi/mediabank/887.pdf" TargetMode="External"/><Relationship Id="rId6" Type="http://schemas.openxmlformats.org/officeDocument/2006/relationships/vmlDrawing" Target="../drawings/vmlDrawing2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7" Type="http://schemas.openxmlformats.org/officeDocument/2006/relationships/image" Target="../media/image9.emf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Relationship Id="rId6" Type="http://schemas.openxmlformats.org/officeDocument/2006/relationships/oleObject" Target="../embeddings/oleObject3.bin"/><Relationship Id="rId5" Type="http://schemas.openxmlformats.org/officeDocument/2006/relationships/oleObject" Target="../embeddings/oleObject2.bin"/><Relationship Id="rId4" Type="http://schemas.openxmlformats.org/officeDocument/2006/relationships/image" Target="../media/image8.wmf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topLeftCell="C1" zoomScale="85" zoomScaleNormal="85" workbookViewId="0">
      <selection activeCell="H10" sqref="H10"/>
    </sheetView>
  </sheetViews>
  <sheetFormatPr defaultRowHeight="15.75" x14ac:dyDescent="0.25"/>
  <cols>
    <col min="1" max="1" width="28.5703125" style="42" customWidth="1"/>
    <col min="2" max="2" width="32.42578125" style="42" customWidth="1"/>
    <col min="3" max="3" width="37.7109375" style="42" customWidth="1"/>
    <col min="4" max="4" width="17" style="42" bestFit="1" customWidth="1"/>
    <col min="5" max="5" width="19.5703125" style="42" bestFit="1" customWidth="1"/>
    <col min="6" max="6" width="31.28515625" style="42" customWidth="1"/>
    <col min="7" max="16384" width="9.140625" style="42"/>
  </cols>
  <sheetData>
    <row r="1" spans="1:6" x14ac:dyDescent="0.25">
      <c r="A1" s="21" t="s">
        <v>39</v>
      </c>
      <c r="B1" s="21" t="s">
        <v>40</v>
      </c>
      <c r="C1" s="21" t="s">
        <v>41</v>
      </c>
      <c r="D1" s="21" t="s">
        <v>42</v>
      </c>
      <c r="E1" s="21" t="s">
        <v>43</v>
      </c>
      <c r="F1" s="21" t="s">
        <v>44</v>
      </c>
    </row>
    <row r="2" spans="1:6" ht="31.5" x14ac:dyDescent="0.25">
      <c r="A2" s="99" t="s">
        <v>46</v>
      </c>
      <c r="B2" s="43" t="s">
        <v>50</v>
      </c>
      <c r="C2" s="43" t="s">
        <v>152</v>
      </c>
      <c r="D2" s="43" t="s">
        <v>59</v>
      </c>
      <c r="E2" s="43" t="s">
        <v>60</v>
      </c>
      <c r="F2" s="43" t="s">
        <v>151</v>
      </c>
    </row>
    <row r="3" spans="1:6" ht="47.25" x14ac:dyDescent="0.25">
      <c r="A3" s="100"/>
      <c r="B3" s="44" t="s">
        <v>51</v>
      </c>
      <c r="C3" s="43" t="s">
        <v>54</v>
      </c>
      <c r="D3" s="43" t="s">
        <v>59</v>
      </c>
      <c r="E3" s="43" t="s">
        <v>155</v>
      </c>
      <c r="F3" s="43" t="s">
        <v>156</v>
      </c>
    </row>
    <row r="4" spans="1:6" ht="47.25" x14ac:dyDescent="0.25">
      <c r="A4" s="101" t="s">
        <v>73</v>
      </c>
      <c r="B4" s="44" t="s">
        <v>158</v>
      </c>
      <c r="C4" s="43" t="s">
        <v>56</v>
      </c>
      <c r="D4" s="43" t="s">
        <v>174</v>
      </c>
      <c r="E4" s="43" t="s">
        <v>153</v>
      </c>
      <c r="F4" s="43" t="s">
        <v>154</v>
      </c>
    </row>
    <row r="5" spans="1:6" ht="31.5" x14ac:dyDescent="0.25">
      <c r="A5" s="102"/>
      <c r="B5" s="44" t="s">
        <v>157</v>
      </c>
      <c r="C5" s="44" t="s">
        <v>55</v>
      </c>
      <c r="D5" s="43" t="s">
        <v>59</v>
      </c>
      <c r="E5" s="43" t="s">
        <v>159</v>
      </c>
      <c r="F5" s="43" t="s">
        <v>156</v>
      </c>
    </row>
    <row r="6" spans="1:6" ht="47.25" x14ac:dyDescent="0.25">
      <c r="A6" s="43" t="s">
        <v>49</v>
      </c>
      <c r="B6" s="43" t="s">
        <v>52</v>
      </c>
      <c r="C6" s="43" t="s">
        <v>160</v>
      </c>
      <c r="D6" s="43" t="s">
        <v>59</v>
      </c>
      <c r="E6" s="43" t="s">
        <v>175</v>
      </c>
      <c r="F6" s="43" t="s">
        <v>161</v>
      </c>
    </row>
    <row r="7" spans="1:6" ht="31.5" x14ac:dyDescent="0.25">
      <c r="A7" s="44" t="s">
        <v>45</v>
      </c>
      <c r="B7" s="44" t="s">
        <v>53</v>
      </c>
      <c r="C7" s="43" t="s">
        <v>57</v>
      </c>
      <c r="D7" s="43" t="s">
        <v>59</v>
      </c>
      <c r="E7" s="43" t="s">
        <v>162</v>
      </c>
      <c r="F7" s="43" t="s">
        <v>163</v>
      </c>
    </row>
    <row r="8" spans="1:6" ht="47.25" x14ac:dyDescent="0.25">
      <c r="A8" s="44" t="s">
        <v>164</v>
      </c>
      <c r="B8" s="44" t="s">
        <v>165</v>
      </c>
      <c r="C8" s="43" t="s">
        <v>58</v>
      </c>
      <c r="D8" s="43" t="s">
        <v>59</v>
      </c>
      <c r="E8" s="43" t="s">
        <v>166</v>
      </c>
      <c r="F8" s="43" t="s">
        <v>167</v>
      </c>
    </row>
    <row r="9" spans="1:6" ht="47.25" x14ac:dyDescent="0.25">
      <c r="A9" s="44" t="s">
        <v>47</v>
      </c>
      <c r="B9" s="44" t="s">
        <v>168</v>
      </c>
      <c r="C9" s="43" t="s">
        <v>169</v>
      </c>
      <c r="D9" s="43" t="s">
        <v>173</v>
      </c>
      <c r="E9" s="43" t="s">
        <v>175</v>
      </c>
      <c r="F9" s="43" t="s">
        <v>161</v>
      </c>
    </row>
    <row r="10" spans="1:6" ht="31.5" x14ac:dyDescent="0.25">
      <c r="A10" s="44" t="s">
        <v>48</v>
      </c>
      <c r="B10" s="43" t="s">
        <v>170</v>
      </c>
      <c r="C10" s="44" t="s">
        <v>171</v>
      </c>
      <c r="D10" s="43" t="s">
        <v>172</v>
      </c>
      <c r="E10" s="43" t="s">
        <v>176</v>
      </c>
      <c r="F10" s="43" t="s">
        <v>177</v>
      </c>
    </row>
  </sheetData>
  <mergeCells count="2">
    <mergeCell ref="A2:A3"/>
    <mergeCell ref="A4:A5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8"/>
  <sheetViews>
    <sheetView workbookViewId="0">
      <selection activeCell="F13" sqref="F13"/>
    </sheetView>
  </sheetViews>
  <sheetFormatPr defaultRowHeight="15" x14ac:dyDescent="0.25"/>
  <cols>
    <col min="1" max="1" width="22.85546875" bestFit="1" customWidth="1"/>
    <col min="2" max="2" width="10.5703125" bestFit="1" customWidth="1"/>
  </cols>
  <sheetData>
    <row r="1" spans="1:3" x14ac:dyDescent="0.25">
      <c r="A1" s="24" t="s">
        <v>147</v>
      </c>
      <c r="B1" s="1"/>
      <c r="C1" s="1"/>
    </row>
    <row r="2" spans="1:3" x14ac:dyDescent="0.25">
      <c r="A2" s="25" t="s">
        <v>61</v>
      </c>
      <c r="B2" s="1" t="s">
        <v>62</v>
      </c>
      <c r="C2" s="1"/>
    </row>
    <row r="3" spans="1:3" x14ac:dyDescent="0.25">
      <c r="A3" s="25" t="s">
        <v>63</v>
      </c>
      <c r="B3" s="26">
        <v>0.45</v>
      </c>
      <c r="C3" s="3" t="s">
        <v>64</v>
      </c>
    </row>
    <row r="4" spans="1:3" x14ac:dyDescent="0.25">
      <c r="A4" s="25" t="s">
        <v>67</v>
      </c>
      <c r="B4" s="26">
        <v>54</v>
      </c>
      <c r="C4" s="3" t="s">
        <v>66</v>
      </c>
    </row>
    <row r="5" spans="1:3" x14ac:dyDescent="0.25">
      <c r="A5" s="25" t="s">
        <v>65</v>
      </c>
      <c r="B5" s="26">
        <v>2.2000000000000002</v>
      </c>
      <c r="C5" s="3" t="s">
        <v>68</v>
      </c>
    </row>
    <row r="6" spans="1:3" x14ac:dyDescent="0.25">
      <c r="A6" s="25" t="s">
        <v>69</v>
      </c>
      <c r="B6" s="26">
        <v>2</v>
      </c>
      <c r="C6" s="3" t="s">
        <v>70</v>
      </c>
    </row>
    <row r="7" spans="1:3" x14ac:dyDescent="0.25">
      <c r="A7" s="25" t="s">
        <v>74</v>
      </c>
      <c r="B7" s="26">
        <f>B6*B5</f>
        <v>4.4000000000000004</v>
      </c>
      <c r="C7" s="3" t="s">
        <v>75</v>
      </c>
    </row>
    <row r="8" spans="1:3" x14ac:dyDescent="0.25">
      <c r="A8" s="25"/>
      <c r="B8" s="26"/>
      <c r="C8" s="3"/>
    </row>
    <row r="9" spans="1:3" x14ac:dyDescent="0.25">
      <c r="A9" s="27" t="s">
        <v>148</v>
      </c>
      <c r="B9" s="26"/>
      <c r="C9" s="3"/>
    </row>
    <row r="10" spans="1:3" x14ac:dyDescent="0.25">
      <c r="A10" s="25" t="s">
        <v>71</v>
      </c>
      <c r="B10" s="26">
        <v>300</v>
      </c>
      <c r="C10" s="3" t="s">
        <v>72</v>
      </c>
    </row>
    <row r="11" spans="1:3" x14ac:dyDescent="0.25">
      <c r="A11" s="25" t="s">
        <v>76</v>
      </c>
      <c r="B11" s="26">
        <v>0.3</v>
      </c>
      <c r="C11" s="3"/>
    </row>
    <row r="12" spans="1:3" x14ac:dyDescent="0.25">
      <c r="A12" s="25" t="s">
        <v>80</v>
      </c>
      <c r="B12" s="28">
        <v>1.5</v>
      </c>
      <c r="C12" s="3"/>
    </row>
    <row r="13" spans="1:3" x14ac:dyDescent="0.25">
      <c r="A13" s="25"/>
      <c r="B13" s="28"/>
      <c r="C13" s="3"/>
    </row>
    <row r="14" spans="1:3" x14ac:dyDescent="0.25">
      <c r="A14" s="27" t="s">
        <v>149</v>
      </c>
      <c r="B14" s="3"/>
      <c r="C14" s="3"/>
    </row>
    <row r="15" spans="1:3" x14ac:dyDescent="0.25">
      <c r="A15" s="45" t="s">
        <v>77</v>
      </c>
      <c r="B15" s="30">
        <f>(B3*2*PI()*B11/B10)*1000</f>
        <v>2.8274333882308138</v>
      </c>
      <c r="C15" s="4" t="s">
        <v>82</v>
      </c>
    </row>
    <row r="16" spans="1:3" x14ac:dyDescent="0.25">
      <c r="A16" s="25" t="s">
        <v>81</v>
      </c>
      <c r="B16" s="30">
        <f>B15/B12</f>
        <v>1.8849555921538759</v>
      </c>
      <c r="C16" s="3" t="s">
        <v>82</v>
      </c>
    </row>
    <row r="17" spans="1:3" x14ac:dyDescent="0.25">
      <c r="A17" s="25" t="s">
        <v>78</v>
      </c>
      <c r="B17" s="30">
        <f>(B7/B10)*1000</f>
        <v>14.666666666666668</v>
      </c>
      <c r="C17" s="3" t="s">
        <v>79</v>
      </c>
    </row>
    <row r="18" spans="1:3" x14ac:dyDescent="0.25">
      <c r="B18" s="22"/>
      <c r="C18" s="2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49"/>
  <sheetViews>
    <sheetView workbookViewId="0">
      <selection activeCell="C3" sqref="C3"/>
    </sheetView>
  </sheetViews>
  <sheetFormatPr defaultRowHeight="15" x14ac:dyDescent="0.25"/>
  <cols>
    <col min="1" max="1" width="29.7109375" bestFit="1" customWidth="1"/>
    <col min="3" max="3" width="9.5703125" bestFit="1" customWidth="1"/>
  </cols>
  <sheetData>
    <row r="1" spans="1:5" x14ac:dyDescent="0.25">
      <c r="A1" s="24" t="s">
        <v>146</v>
      </c>
      <c r="B1" s="1"/>
      <c r="C1" s="1"/>
    </row>
    <row r="2" spans="1:5" x14ac:dyDescent="0.25">
      <c r="A2" s="25" t="s">
        <v>23</v>
      </c>
      <c r="B2" s="3"/>
      <c r="C2" s="3">
        <v>0.25</v>
      </c>
    </row>
    <row r="3" spans="1:5" x14ac:dyDescent="0.25">
      <c r="A3" s="25" t="s">
        <v>25</v>
      </c>
      <c r="B3" s="3" t="s">
        <v>24</v>
      </c>
      <c r="C3" s="3">
        <f>'Error Apportionment'!E24/1000</f>
        <v>1.1592659616084149</v>
      </c>
    </row>
    <row r="4" spans="1:5" x14ac:dyDescent="0.25">
      <c r="A4" s="25" t="s">
        <v>27</v>
      </c>
      <c r="B4" s="3" t="s">
        <v>26</v>
      </c>
      <c r="C4" s="3">
        <v>1000</v>
      </c>
    </row>
    <row r="5" spans="1:5" x14ac:dyDescent="0.25">
      <c r="A5" s="25"/>
      <c r="B5" s="3"/>
      <c r="C5" s="3"/>
    </row>
    <row r="6" spans="1:5" x14ac:dyDescent="0.25">
      <c r="A6" s="29" t="s">
        <v>144</v>
      </c>
      <c r="B6" s="3"/>
      <c r="C6" s="3"/>
    </row>
    <row r="7" spans="1:5" x14ac:dyDescent="0.25">
      <c r="A7" s="31" t="s">
        <v>29</v>
      </c>
      <c r="B7" s="32" t="s">
        <v>30</v>
      </c>
      <c r="C7" s="33">
        <f>C4*C2/C3</f>
        <v>215.65370525771272</v>
      </c>
      <c r="D7">
        <f>C7/25.4</f>
        <v>8.4903033566028636</v>
      </c>
      <c r="E7" t="s">
        <v>33</v>
      </c>
    </row>
    <row r="8" spans="1:5" x14ac:dyDescent="0.25">
      <c r="A8" s="31" t="s">
        <v>28</v>
      </c>
      <c r="B8" s="32"/>
      <c r="C8" s="32">
        <f>2*C2/C7</f>
        <v>2.3185319232168298E-3</v>
      </c>
      <c r="D8">
        <f>C8*180/PI()</f>
        <v>0.1328420938666742</v>
      </c>
      <c r="E8" t="s">
        <v>34</v>
      </c>
    </row>
    <row r="9" spans="1:5" x14ac:dyDescent="0.25">
      <c r="A9" s="25" t="s">
        <v>31</v>
      </c>
      <c r="B9" s="3" t="s">
        <v>32</v>
      </c>
      <c r="C9" s="34">
        <f>C7/3</f>
        <v>71.884568419237567</v>
      </c>
      <c r="D9">
        <f>C9/25.4</f>
        <v>2.8301011188676211</v>
      </c>
      <c r="E9" t="s">
        <v>33</v>
      </c>
    </row>
    <row r="49" spans="3:3" x14ac:dyDescent="0.25">
      <c r="C49">
        <f>F4*C4*('Bearing Length'!C7/1000)</f>
        <v>0</v>
      </c>
    </row>
  </sheetData>
  <pageMargins left="0.7" right="0.7" top="0.75" bottom="0.75" header="0.3" footer="0.3"/>
  <drawing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7"/>
  <sheetViews>
    <sheetView topLeftCell="A9" zoomScale="85" zoomScaleNormal="85" workbookViewId="0">
      <selection activeCell="A11" sqref="A11:I11"/>
    </sheetView>
  </sheetViews>
  <sheetFormatPr defaultColWidth="8.85546875" defaultRowHeight="15" x14ac:dyDescent="0.25"/>
  <cols>
    <col min="1" max="1" width="27.28515625" customWidth="1"/>
    <col min="2" max="2" width="6.140625" customWidth="1"/>
    <col min="3" max="3" width="11" customWidth="1"/>
    <col min="4" max="4" width="12.42578125" customWidth="1"/>
    <col min="5" max="5" width="11.42578125" bestFit="1" customWidth="1"/>
    <col min="6" max="6" width="11.7109375" bestFit="1" customWidth="1"/>
    <col min="7" max="7" width="11.140625" bestFit="1" customWidth="1"/>
    <col min="8" max="8" width="10" bestFit="1" customWidth="1"/>
    <col min="9" max="9" width="9.85546875" bestFit="1" customWidth="1"/>
    <col min="257" max="257" width="27.28515625" customWidth="1"/>
    <col min="258" max="258" width="6.140625" customWidth="1"/>
    <col min="259" max="259" width="11" customWidth="1"/>
    <col min="260" max="260" width="12.42578125" customWidth="1"/>
    <col min="261" max="261" width="11.42578125" bestFit="1" customWidth="1"/>
    <col min="262" max="262" width="11.7109375" bestFit="1" customWidth="1"/>
    <col min="263" max="263" width="11.140625" bestFit="1" customWidth="1"/>
    <col min="264" max="264" width="10" bestFit="1" customWidth="1"/>
    <col min="265" max="265" width="9.85546875" bestFit="1" customWidth="1"/>
    <col min="513" max="513" width="27.28515625" customWidth="1"/>
    <col min="514" max="514" width="6.140625" customWidth="1"/>
    <col min="515" max="515" width="11" customWidth="1"/>
    <col min="516" max="516" width="12.42578125" customWidth="1"/>
    <col min="517" max="517" width="11.42578125" bestFit="1" customWidth="1"/>
    <col min="518" max="518" width="11.7109375" bestFit="1" customWidth="1"/>
    <col min="519" max="519" width="11.140625" bestFit="1" customWidth="1"/>
    <col min="520" max="520" width="10" bestFit="1" customWidth="1"/>
    <col min="521" max="521" width="9.85546875" bestFit="1" customWidth="1"/>
    <col min="769" max="769" width="27.28515625" customWidth="1"/>
    <col min="770" max="770" width="6.140625" customWidth="1"/>
    <col min="771" max="771" width="11" customWidth="1"/>
    <col min="772" max="772" width="12.42578125" customWidth="1"/>
    <col min="773" max="773" width="11.42578125" bestFit="1" customWidth="1"/>
    <col min="774" max="774" width="11.7109375" bestFit="1" customWidth="1"/>
    <col min="775" max="775" width="11.140625" bestFit="1" customWidth="1"/>
    <col min="776" max="776" width="10" bestFit="1" customWidth="1"/>
    <col min="777" max="777" width="9.85546875" bestFit="1" customWidth="1"/>
    <col min="1025" max="1025" width="27.28515625" customWidth="1"/>
    <col min="1026" max="1026" width="6.140625" customWidth="1"/>
    <col min="1027" max="1027" width="11" customWidth="1"/>
    <col min="1028" max="1028" width="12.42578125" customWidth="1"/>
    <col min="1029" max="1029" width="11.42578125" bestFit="1" customWidth="1"/>
    <col min="1030" max="1030" width="11.7109375" bestFit="1" customWidth="1"/>
    <col min="1031" max="1031" width="11.140625" bestFit="1" customWidth="1"/>
    <col min="1032" max="1032" width="10" bestFit="1" customWidth="1"/>
    <col min="1033" max="1033" width="9.85546875" bestFit="1" customWidth="1"/>
    <col min="1281" max="1281" width="27.28515625" customWidth="1"/>
    <col min="1282" max="1282" width="6.140625" customWidth="1"/>
    <col min="1283" max="1283" width="11" customWidth="1"/>
    <col min="1284" max="1284" width="12.42578125" customWidth="1"/>
    <col min="1285" max="1285" width="11.42578125" bestFit="1" customWidth="1"/>
    <col min="1286" max="1286" width="11.7109375" bestFit="1" customWidth="1"/>
    <col min="1287" max="1287" width="11.140625" bestFit="1" customWidth="1"/>
    <col min="1288" max="1288" width="10" bestFit="1" customWidth="1"/>
    <col min="1289" max="1289" width="9.85546875" bestFit="1" customWidth="1"/>
    <col min="1537" max="1537" width="27.28515625" customWidth="1"/>
    <col min="1538" max="1538" width="6.140625" customWidth="1"/>
    <col min="1539" max="1539" width="11" customWidth="1"/>
    <col min="1540" max="1540" width="12.42578125" customWidth="1"/>
    <col min="1541" max="1541" width="11.42578125" bestFit="1" customWidth="1"/>
    <col min="1542" max="1542" width="11.7109375" bestFit="1" customWidth="1"/>
    <col min="1543" max="1543" width="11.140625" bestFit="1" customWidth="1"/>
    <col min="1544" max="1544" width="10" bestFit="1" customWidth="1"/>
    <col min="1545" max="1545" width="9.85546875" bestFit="1" customWidth="1"/>
    <col min="1793" max="1793" width="27.28515625" customWidth="1"/>
    <col min="1794" max="1794" width="6.140625" customWidth="1"/>
    <col min="1795" max="1795" width="11" customWidth="1"/>
    <col min="1796" max="1796" width="12.42578125" customWidth="1"/>
    <col min="1797" max="1797" width="11.42578125" bestFit="1" customWidth="1"/>
    <col min="1798" max="1798" width="11.7109375" bestFit="1" customWidth="1"/>
    <col min="1799" max="1799" width="11.140625" bestFit="1" customWidth="1"/>
    <col min="1800" max="1800" width="10" bestFit="1" customWidth="1"/>
    <col min="1801" max="1801" width="9.85546875" bestFit="1" customWidth="1"/>
    <col min="2049" max="2049" width="27.28515625" customWidth="1"/>
    <col min="2050" max="2050" width="6.140625" customWidth="1"/>
    <col min="2051" max="2051" width="11" customWidth="1"/>
    <col min="2052" max="2052" width="12.42578125" customWidth="1"/>
    <col min="2053" max="2053" width="11.42578125" bestFit="1" customWidth="1"/>
    <col min="2054" max="2054" width="11.7109375" bestFit="1" customWidth="1"/>
    <col min="2055" max="2055" width="11.140625" bestFit="1" customWidth="1"/>
    <col min="2056" max="2056" width="10" bestFit="1" customWidth="1"/>
    <col min="2057" max="2057" width="9.85546875" bestFit="1" customWidth="1"/>
    <col min="2305" max="2305" width="27.28515625" customWidth="1"/>
    <col min="2306" max="2306" width="6.140625" customWidth="1"/>
    <col min="2307" max="2307" width="11" customWidth="1"/>
    <col min="2308" max="2308" width="12.42578125" customWidth="1"/>
    <col min="2309" max="2309" width="11.42578125" bestFit="1" customWidth="1"/>
    <col min="2310" max="2310" width="11.7109375" bestFit="1" customWidth="1"/>
    <col min="2311" max="2311" width="11.140625" bestFit="1" customWidth="1"/>
    <col min="2312" max="2312" width="10" bestFit="1" customWidth="1"/>
    <col min="2313" max="2313" width="9.85546875" bestFit="1" customWidth="1"/>
    <col min="2561" max="2561" width="27.28515625" customWidth="1"/>
    <col min="2562" max="2562" width="6.140625" customWidth="1"/>
    <col min="2563" max="2563" width="11" customWidth="1"/>
    <col min="2564" max="2564" width="12.42578125" customWidth="1"/>
    <col min="2565" max="2565" width="11.42578125" bestFit="1" customWidth="1"/>
    <col min="2566" max="2566" width="11.7109375" bestFit="1" customWidth="1"/>
    <col min="2567" max="2567" width="11.140625" bestFit="1" customWidth="1"/>
    <col min="2568" max="2568" width="10" bestFit="1" customWidth="1"/>
    <col min="2569" max="2569" width="9.85546875" bestFit="1" customWidth="1"/>
    <col min="2817" max="2817" width="27.28515625" customWidth="1"/>
    <col min="2818" max="2818" width="6.140625" customWidth="1"/>
    <col min="2819" max="2819" width="11" customWidth="1"/>
    <col min="2820" max="2820" width="12.42578125" customWidth="1"/>
    <col min="2821" max="2821" width="11.42578125" bestFit="1" customWidth="1"/>
    <col min="2822" max="2822" width="11.7109375" bestFit="1" customWidth="1"/>
    <col min="2823" max="2823" width="11.140625" bestFit="1" customWidth="1"/>
    <col min="2824" max="2824" width="10" bestFit="1" customWidth="1"/>
    <col min="2825" max="2825" width="9.85546875" bestFit="1" customWidth="1"/>
    <col min="3073" max="3073" width="27.28515625" customWidth="1"/>
    <col min="3074" max="3074" width="6.140625" customWidth="1"/>
    <col min="3075" max="3075" width="11" customWidth="1"/>
    <col min="3076" max="3076" width="12.42578125" customWidth="1"/>
    <col min="3077" max="3077" width="11.42578125" bestFit="1" customWidth="1"/>
    <col min="3078" max="3078" width="11.7109375" bestFit="1" customWidth="1"/>
    <col min="3079" max="3079" width="11.140625" bestFit="1" customWidth="1"/>
    <col min="3080" max="3080" width="10" bestFit="1" customWidth="1"/>
    <col min="3081" max="3081" width="9.85546875" bestFit="1" customWidth="1"/>
    <col min="3329" max="3329" width="27.28515625" customWidth="1"/>
    <col min="3330" max="3330" width="6.140625" customWidth="1"/>
    <col min="3331" max="3331" width="11" customWidth="1"/>
    <col min="3332" max="3332" width="12.42578125" customWidth="1"/>
    <col min="3333" max="3333" width="11.42578125" bestFit="1" customWidth="1"/>
    <col min="3334" max="3334" width="11.7109375" bestFit="1" customWidth="1"/>
    <col min="3335" max="3335" width="11.140625" bestFit="1" customWidth="1"/>
    <col min="3336" max="3336" width="10" bestFit="1" customWidth="1"/>
    <col min="3337" max="3337" width="9.85546875" bestFit="1" customWidth="1"/>
    <col min="3585" max="3585" width="27.28515625" customWidth="1"/>
    <col min="3586" max="3586" width="6.140625" customWidth="1"/>
    <col min="3587" max="3587" width="11" customWidth="1"/>
    <col min="3588" max="3588" width="12.42578125" customWidth="1"/>
    <col min="3589" max="3589" width="11.42578125" bestFit="1" customWidth="1"/>
    <col min="3590" max="3590" width="11.7109375" bestFit="1" customWidth="1"/>
    <col min="3591" max="3591" width="11.140625" bestFit="1" customWidth="1"/>
    <col min="3592" max="3592" width="10" bestFit="1" customWidth="1"/>
    <col min="3593" max="3593" width="9.85546875" bestFit="1" customWidth="1"/>
    <col min="3841" max="3841" width="27.28515625" customWidth="1"/>
    <col min="3842" max="3842" width="6.140625" customWidth="1"/>
    <col min="3843" max="3843" width="11" customWidth="1"/>
    <col min="3844" max="3844" width="12.42578125" customWidth="1"/>
    <col min="3845" max="3845" width="11.42578125" bestFit="1" customWidth="1"/>
    <col min="3846" max="3846" width="11.7109375" bestFit="1" customWidth="1"/>
    <col min="3847" max="3847" width="11.140625" bestFit="1" customWidth="1"/>
    <col min="3848" max="3848" width="10" bestFit="1" customWidth="1"/>
    <col min="3849" max="3849" width="9.85546875" bestFit="1" customWidth="1"/>
    <col min="4097" max="4097" width="27.28515625" customWidth="1"/>
    <col min="4098" max="4098" width="6.140625" customWidth="1"/>
    <col min="4099" max="4099" width="11" customWidth="1"/>
    <col min="4100" max="4100" width="12.42578125" customWidth="1"/>
    <col min="4101" max="4101" width="11.42578125" bestFit="1" customWidth="1"/>
    <col min="4102" max="4102" width="11.7109375" bestFit="1" customWidth="1"/>
    <col min="4103" max="4103" width="11.140625" bestFit="1" customWidth="1"/>
    <col min="4104" max="4104" width="10" bestFit="1" customWidth="1"/>
    <col min="4105" max="4105" width="9.85546875" bestFit="1" customWidth="1"/>
    <col min="4353" max="4353" width="27.28515625" customWidth="1"/>
    <col min="4354" max="4354" width="6.140625" customWidth="1"/>
    <col min="4355" max="4355" width="11" customWidth="1"/>
    <col min="4356" max="4356" width="12.42578125" customWidth="1"/>
    <col min="4357" max="4357" width="11.42578125" bestFit="1" customWidth="1"/>
    <col min="4358" max="4358" width="11.7109375" bestFit="1" customWidth="1"/>
    <col min="4359" max="4359" width="11.140625" bestFit="1" customWidth="1"/>
    <col min="4360" max="4360" width="10" bestFit="1" customWidth="1"/>
    <col min="4361" max="4361" width="9.85546875" bestFit="1" customWidth="1"/>
    <col min="4609" max="4609" width="27.28515625" customWidth="1"/>
    <col min="4610" max="4610" width="6.140625" customWidth="1"/>
    <col min="4611" max="4611" width="11" customWidth="1"/>
    <col min="4612" max="4612" width="12.42578125" customWidth="1"/>
    <col min="4613" max="4613" width="11.42578125" bestFit="1" customWidth="1"/>
    <col min="4614" max="4614" width="11.7109375" bestFit="1" customWidth="1"/>
    <col min="4615" max="4615" width="11.140625" bestFit="1" customWidth="1"/>
    <col min="4616" max="4616" width="10" bestFit="1" customWidth="1"/>
    <col min="4617" max="4617" width="9.85546875" bestFit="1" customWidth="1"/>
    <col min="4865" max="4865" width="27.28515625" customWidth="1"/>
    <col min="4866" max="4866" width="6.140625" customWidth="1"/>
    <col min="4867" max="4867" width="11" customWidth="1"/>
    <col min="4868" max="4868" width="12.42578125" customWidth="1"/>
    <col min="4869" max="4869" width="11.42578125" bestFit="1" customWidth="1"/>
    <col min="4870" max="4870" width="11.7109375" bestFit="1" customWidth="1"/>
    <col min="4871" max="4871" width="11.140625" bestFit="1" customWidth="1"/>
    <col min="4872" max="4872" width="10" bestFit="1" customWidth="1"/>
    <col min="4873" max="4873" width="9.85546875" bestFit="1" customWidth="1"/>
    <col min="5121" max="5121" width="27.28515625" customWidth="1"/>
    <col min="5122" max="5122" width="6.140625" customWidth="1"/>
    <col min="5123" max="5123" width="11" customWidth="1"/>
    <col min="5124" max="5124" width="12.42578125" customWidth="1"/>
    <col min="5125" max="5125" width="11.42578125" bestFit="1" customWidth="1"/>
    <col min="5126" max="5126" width="11.7109375" bestFit="1" customWidth="1"/>
    <col min="5127" max="5127" width="11.140625" bestFit="1" customWidth="1"/>
    <col min="5128" max="5128" width="10" bestFit="1" customWidth="1"/>
    <col min="5129" max="5129" width="9.85546875" bestFit="1" customWidth="1"/>
    <col min="5377" max="5377" width="27.28515625" customWidth="1"/>
    <col min="5378" max="5378" width="6.140625" customWidth="1"/>
    <col min="5379" max="5379" width="11" customWidth="1"/>
    <col min="5380" max="5380" width="12.42578125" customWidth="1"/>
    <col min="5381" max="5381" width="11.42578125" bestFit="1" customWidth="1"/>
    <col min="5382" max="5382" width="11.7109375" bestFit="1" customWidth="1"/>
    <col min="5383" max="5383" width="11.140625" bestFit="1" customWidth="1"/>
    <col min="5384" max="5384" width="10" bestFit="1" customWidth="1"/>
    <col min="5385" max="5385" width="9.85546875" bestFit="1" customWidth="1"/>
    <col min="5633" max="5633" width="27.28515625" customWidth="1"/>
    <col min="5634" max="5634" width="6.140625" customWidth="1"/>
    <col min="5635" max="5635" width="11" customWidth="1"/>
    <col min="5636" max="5636" width="12.42578125" customWidth="1"/>
    <col min="5637" max="5637" width="11.42578125" bestFit="1" customWidth="1"/>
    <col min="5638" max="5638" width="11.7109375" bestFit="1" customWidth="1"/>
    <col min="5639" max="5639" width="11.140625" bestFit="1" customWidth="1"/>
    <col min="5640" max="5640" width="10" bestFit="1" customWidth="1"/>
    <col min="5641" max="5641" width="9.85546875" bestFit="1" customWidth="1"/>
    <col min="5889" max="5889" width="27.28515625" customWidth="1"/>
    <col min="5890" max="5890" width="6.140625" customWidth="1"/>
    <col min="5891" max="5891" width="11" customWidth="1"/>
    <col min="5892" max="5892" width="12.42578125" customWidth="1"/>
    <col min="5893" max="5893" width="11.42578125" bestFit="1" customWidth="1"/>
    <col min="5894" max="5894" width="11.7109375" bestFit="1" customWidth="1"/>
    <col min="5895" max="5895" width="11.140625" bestFit="1" customWidth="1"/>
    <col min="5896" max="5896" width="10" bestFit="1" customWidth="1"/>
    <col min="5897" max="5897" width="9.85546875" bestFit="1" customWidth="1"/>
    <col min="6145" max="6145" width="27.28515625" customWidth="1"/>
    <col min="6146" max="6146" width="6.140625" customWidth="1"/>
    <col min="6147" max="6147" width="11" customWidth="1"/>
    <col min="6148" max="6148" width="12.42578125" customWidth="1"/>
    <col min="6149" max="6149" width="11.42578125" bestFit="1" customWidth="1"/>
    <col min="6150" max="6150" width="11.7109375" bestFit="1" customWidth="1"/>
    <col min="6151" max="6151" width="11.140625" bestFit="1" customWidth="1"/>
    <col min="6152" max="6152" width="10" bestFit="1" customWidth="1"/>
    <col min="6153" max="6153" width="9.85546875" bestFit="1" customWidth="1"/>
    <col min="6401" max="6401" width="27.28515625" customWidth="1"/>
    <col min="6402" max="6402" width="6.140625" customWidth="1"/>
    <col min="6403" max="6403" width="11" customWidth="1"/>
    <col min="6404" max="6404" width="12.42578125" customWidth="1"/>
    <col min="6405" max="6405" width="11.42578125" bestFit="1" customWidth="1"/>
    <col min="6406" max="6406" width="11.7109375" bestFit="1" customWidth="1"/>
    <col min="6407" max="6407" width="11.140625" bestFit="1" customWidth="1"/>
    <col min="6408" max="6408" width="10" bestFit="1" customWidth="1"/>
    <col min="6409" max="6409" width="9.85546875" bestFit="1" customWidth="1"/>
    <col min="6657" max="6657" width="27.28515625" customWidth="1"/>
    <col min="6658" max="6658" width="6.140625" customWidth="1"/>
    <col min="6659" max="6659" width="11" customWidth="1"/>
    <col min="6660" max="6660" width="12.42578125" customWidth="1"/>
    <col min="6661" max="6661" width="11.42578125" bestFit="1" customWidth="1"/>
    <col min="6662" max="6662" width="11.7109375" bestFit="1" customWidth="1"/>
    <col min="6663" max="6663" width="11.140625" bestFit="1" customWidth="1"/>
    <col min="6664" max="6664" width="10" bestFit="1" customWidth="1"/>
    <col min="6665" max="6665" width="9.85546875" bestFit="1" customWidth="1"/>
    <col min="6913" max="6913" width="27.28515625" customWidth="1"/>
    <col min="6914" max="6914" width="6.140625" customWidth="1"/>
    <col min="6915" max="6915" width="11" customWidth="1"/>
    <col min="6916" max="6916" width="12.42578125" customWidth="1"/>
    <col min="6917" max="6917" width="11.42578125" bestFit="1" customWidth="1"/>
    <col min="6918" max="6918" width="11.7109375" bestFit="1" customWidth="1"/>
    <col min="6919" max="6919" width="11.140625" bestFit="1" customWidth="1"/>
    <col min="6920" max="6920" width="10" bestFit="1" customWidth="1"/>
    <col min="6921" max="6921" width="9.85546875" bestFit="1" customWidth="1"/>
    <col min="7169" max="7169" width="27.28515625" customWidth="1"/>
    <col min="7170" max="7170" width="6.140625" customWidth="1"/>
    <col min="7171" max="7171" width="11" customWidth="1"/>
    <col min="7172" max="7172" width="12.42578125" customWidth="1"/>
    <col min="7173" max="7173" width="11.42578125" bestFit="1" customWidth="1"/>
    <col min="7174" max="7174" width="11.7109375" bestFit="1" customWidth="1"/>
    <col min="7175" max="7175" width="11.140625" bestFit="1" customWidth="1"/>
    <col min="7176" max="7176" width="10" bestFit="1" customWidth="1"/>
    <col min="7177" max="7177" width="9.85546875" bestFit="1" customWidth="1"/>
    <col min="7425" max="7425" width="27.28515625" customWidth="1"/>
    <col min="7426" max="7426" width="6.140625" customWidth="1"/>
    <col min="7427" max="7427" width="11" customWidth="1"/>
    <col min="7428" max="7428" width="12.42578125" customWidth="1"/>
    <col min="7429" max="7429" width="11.42578125" bestFit="1" customWidth="1"/>
    <col min="7430" max="7430" width="11.7109375" bestFit="1" customWidth="1"/>
    <col min="7431" max="7431" width="11.140625" bestFit="1" customWidth="1"/>
    <col min="7432" max="7432" width="10" bestFit="1" customWidth="1"/>
    <col min="7433" max="7433" width="9.85546875" bestFit="1" customWidth="1"/>
    <col min="7681" max="7681" width="27.28515625" customWidth="1"/>
    <col min="7682" max="7682" width="6.140625" customWidth="1"/>
    <col min="7683" max="7683" width="11" customWidth="1"/>
    <col min="7684" max="7684" width="12.42578125" customWidth="1"/>
    <col min="7685" max="7685" width="11.42578125" bestFit="1" customWidth="1"/>
    <col min="7686" max="7686" width="11.7109375" bestFit="1" customWidth="1"/>
    <col min="7687" max="7687" width="11.140625" bestFit="1" customWidth="1"/>
    <col min="7688" max="7688" width="10" bestFit="1" customWidth="1"/>
    <col min="7689" max="7689" width="9.85546875" bestFit="1" customWidth="1"/>
    <col min="7937" max="7937" width="27.28515625" customWidth="1"/>
    <col min="7938" max="7938" width="6.140625" customWidth="1"/>
    <col min="7939" max="7939" width="11" customWidth="1"/>
    <col min="7940" max="7940" width="12.42578125" customWidth="1"/>
    <col min="7941" max="7941" width="11.42578125" bestFit="1" customWidth="1"/>
    <col min="7942" max="7942" width="11.7109375" bestFit="1" customWidth="1"/>
    <col min="7943" max="7943" width="11.140625" bestFit="1" customWidth="1"/>
    <col min="7944" max="7944" width="10" bestFit="1" customWidth="1"/>
    <col min="7945" max="7945" width="9.85546875" bestFit="1" customWidth="1"/>
    <col min="8193" max="8193" width="27.28515625" customWidth="1"/>
    <col min="8194" max="8194" width="6.140625" customWidth="1"/>
    <col min="8195" max="8195" width="11" customWidth="1"/>
    <col min="8196" max="8196" width="12.42578125" customWidth="1"/>
    <col min="8197" max="8197" width="11.42578125" bestFit="1" customWidth="1"/>
    <col min="8198" max="8198" width="11.7109375" bestFit="1" customWidth="1"/>
    <col min="8199" max="8199" width="11.140625" bestFit="1" customWidth="1"/>
    <col min="8200" max="8200" width="10" bestFit="1" customWidth="1"/>
    <col min="8201" max="8201" width="9.85546875" bestFit="1" customWidth="1"/>
    <col min="8449" max="8449" width="27.28515625" customWidth="1"/>
    <col min="8450" max="8450" width="6.140625" customWidth="1"/>
    <col min="8451" max="8451" width="11" customWidth="1"/>
    <col min="8452" max="8452" width="12.42578125" customWidth="1"/>
    <col min="8453" max="8453" width="11.42578125" bestFit="1" customWidth="1"/>
    <col min="8454" max="8454" width="11.7109375" bestFit="1" customWidth="1"/>
    <col min="8455" max="8455" width="11.140625" bestFit="1" customWidth="1"/>
    <col min="8456" max="8456" width="10" bestFit="1" customWidth="1"/>
    <col min="8457" max="8457" width="9.85546875" bestFit="1" customWidth="1"/>
    <col min="8705" max="8705" width="27.28515625" customWidth="1"/>
    <col min="8706" max="8706" width="6.140625" customWidth="1"/>
    <col min="8707" max="8707" width="11" customWidth="1"/>
    <col min="8708" max="8708" width="12.42578125" customWidth="1"/>
    <col min="8709" max="8709" width="11.42578125" bestFit="1" customWidth="1"/>
    <col min="8710" max="8710" width="11.7109375" bestFit="1" customWidth="1"/>
    <col min="8711" max="8711" width="11.140625" bestFit="1" customWidth="1"/>
    <col min="8712" max="8712" width="10" bestFit="1" customWidth="1"/>
    <col min="8713" max="8713" width="9.85546875" bestFit="1" customWidth="1"/>
    <col min="8961" max="8961" width="27.28515625" customWidth="1"/>
    <col min="8962" max="8962" width="6.140625" customWidth="1"/>
    <col min="8963" max="8963" width="11" customWidth="1"/>
    <col min="8964" max="8964" width="12.42578125" customWidth="1"/>
    <col min="8965" max="8965" width="11.42578125" bestFit="1" customWidth="1"/>
    <col min="8966" max="8966" width="11.7109375" bestFit="1" customWidth="1"/>
    <col min="8967" max="8967" width="11.140625" bestFit="1" customWidth="1"/>
    <col min="8968" max="8968" width="10" bestFit="1" customWidth="1"/>
    <col min="8969" max="8969" width="9.85546875" bestFit="1" customWidth="1"/>
    <col min="9217" max="9217" width="27.28515625" customWidth="1"/>
    <col min="9218" max="9218" width="6.140625" customWidth="1"/>
    <col min="9219" max="9219" width="11" customWidth="1"/>
    <col min="9220" max="9220" width="12.42578125" customWidth="1"/>
    <col min="9221" max="9221" width="11.42578125" bestFit="1" customWidth="1"/>
    <col min="9222" max="9222" width="11.7109375" bestFit="1" customWidth="1"/>
    <col min="9223" max="9223" width="11.140625" bestFit="1" customWidth="1"/>
    <col min="9224" max="9224" width="10" bestFit="1" customWidth="1"/>
    <col min="9225" max="9225" width="9.85546875" bestFit="1" customWidth="1"/>
    <col min="9473" max="9473" width="27.28515625" customWidth="1"/>
    <col min="9474" max="9474" width="6.140625" customWidth="1"/>
    <col min="9475" max="9475" width="11" customWidth="1"/>
    <col min="9476" max="9476" width="12.42578125" customWidth="1"/>
    <col min="9477" max="9477" width="11.42578125" bestFit="1" customWidth="1"/>
    <col min="9478" max="9478" width="11.7109375" bestFit="1" customWidth="1"/>
    <col min="9479" max="9479" width="11.140625" bestFit="1" customWidth="1"/>
    <col min="9480" max="9480" width="10" bestFit="1" customWidth="1"/>
    <col min="9481" max="9481" width="9.85546875" bestFit="1" customWidth="1"/>
    <col min="9729" max="9729" width="27.28515625" customWidth="1"/>
    <col min="9730" max="9730" width="6.140625" customWidth="1"/>
    <col min="9731" max="9731" width="11" customWidth="1"/>
    <col min="9732" max="9732" width="12.42578125" customWidth="1"/>
    <col min="9733" max="9733" width="11.42578125" bestFit="1" customWidth="1"/>
    <col min="9734" max="9734" width="11.7109375" bestFit="1" customWidth="1"/>
    <col min="9735" max="9735" width="11.140625" bestFit="1" customWidth="1"/>
    <col min="9736" max="9736" width="10" bestFit="1" customWidth="1"/>
    <col min="9737" max="9737" width="9.85546875" bestFit="1" customWidth="1"/>
    <col min="9985" max="9985" width="27.28515625" customWidth="1"/>
    <col min="9986" max="9986" width="6.140625" customWidth="1"/>
    <col min="9987" max="9987" width="11" customWidth="1"/>
    <col min="9988" max="9988" width="12.42578125" customWidth="1"/>
    <col min="9989" max="9989" width="11.42578125" bestFit="1" customWidth="1"/>
    <col min="9990" max="9990" width="11.7109375" bestFit="1" customWidth="1"/>
    <col min="9991" max="9991" width="11.140625" bestFit="1" customWidth="1"/>
    <col min="9992" max="9992" width="10" bestFit="1" customWidth="1"/>
    <col min="9993" max="9993" width="9.85546875" bestFit="1" customWidth="1"/>
    <col min="10241" max="10241" width="27.28515625" customWidth="1"/>
    <col min="10242" max="10242" width="6.140625" customWidth="1"/>
    <col min="10243" max="10243" width="11" customWidth="1"/>
    <col min="10244" max="10244" width="12.42578125" customWidth="1"/>
    <col min="10245" max="10245" width="11.42578125" bestFit="1" customWidth="1"/>
    <col min="10246" max="10246" width="11.7109375" bestFit="1" customWidth="1"/>
    <col min="10247" max="10247" width="11.140625" bestFit="1" customWidth="1"/>
    <col min="10248" max="10248" width="10" bestFit="1" customWidth="1"/>
    <col min="10249" max="10249" width="9.85546875" bestFit="1" customWidth="1"/>
    <col min="10497" max="10497" width="27.28515625" customWidth="1"/>
    <col min="10498" max="10498" width="6.140625" customWidth="1"/>
    <col min="10499" max="10499" width="11" customWidth="1"/>
    <col min="10500" max="10500" width="12.42578125" customWidth="1"/>
    <col min="10501" max="10501" width="11.42578125" bestFit="1" customWidth="1"/>
    <col min="10502" max="10502" width="11.7109375" bestFit="1" customWidth="1"/>
    <col min="10503" max="10503" width="11.140625" bestFit="1" customWidth="1"/>
    <col min="10504" max="10504" width="10" bestFit="1" customWidth="1"/>
    <col min="10505" max="10505" width="9.85546875" bestFit="1" customWidth="1"/>
    <col min="10753" max="10753" width="27.28515625" customWidth="1"/>
    <col min="10754" max="10754" width="6.140625" customWidth="1"/>
    <col min="10755" max="10755" width="11" customWidth="1"/>
    <col min="10756" max="10756" width="12.42578125" customWidth="1"/>
    <col min="10757" max="10757" width="11.42578125" bestFit="1" customWidth="1"/>
    <col min="10758" max="10758" width="11.7109375" bestFit="1" customWidth="1"/>
    <col min="10759" max="10759" width="11.140625" bestFit="1" customWidth="1"/>
    <col min="10760" max="10760" width="10" bestFit="1" customWidth="1"/>
    <col min="10761" max="10761" width="9.85546875" bestFit="1" customWidth="1"/>
    <col min="11009" max="11009" width="27.28515625" customWidth="1"/>
    <col min="11010" max="11010" width="6.140625" customWidth="1"/>
    <col min="11011" max="11011" width="11" customWidth="1"/>
    <col min="11012" max="11012" width="12.42578125" customWidth="1"/>
    <col min="11013" max="11013" width="11.42578125" bestFit="1" customWidth="1"/>
    <col min="11014" max="11014" width="11.7109375" bestFit="1" customWidth="1"/>
    <col min="11015" max="11015" width="11.140625" bestFit="1" customWidth="1"/>
    <col min="11016" max="11016" width="10" bestFit="1" customWidth="1"/>
    <col min="11017" max="11017" width="9.85546875" bestFit="1" customWidth="1"/>
    <col min="11265" max="11265" width="27.28515625" customWidth="1"/>
    <col min="11266" max="11266" width="6.140625" customWidth="1"/>
    <col min="11267" max="11267" width="11" customWidth="1"/>
    <col min="11268" max="11268" width="12.42578125" customWidth="1"/>
    <col min="11269" max="11269" width="11.42578125" bestFit="1" customWidth="1"/>
    <col min="11270" max="11270" width="11.7109375" bestFit="1" customWidth="1"/>
    <col min="11271" max="11271" width="11.140625" bestFit="1" customWidth="1"/>
    <col min="11272" max="11272" width="10" bestFit="1" customWidth="1"/>
    <col min="11273" max="11273" width="9.85546875" bestFit="1" customWidth="1"/>
    <col min="11521" max="11521" width="27.28515625" customWidth="1"/>
    <col min="11522" max="11522" width="6.140625" customWidth="1"/>
    <col min="11523" max="11523" width="11" customWidth="1"/>
    <col min="11524" max="11524" width="12.42578125" customWidth="1"/>
    <col min="11525" max="11525" width="11.42578125" bestFit="1" customWidth="1"/>
    <col min="11526" max="11526" width="11.7109375" bestFit="1" customWidth="1"/>
    <col min="11527" max="11527" width="11.140625" bestFit="1" customWidth="1"/>
    <col min="11528" max="11528" width="10" bestFit="1" customWidth="1"/>
    <col min="11529" max="11529" width="9.85546875" bestFit="1" customWidth="1"/>
    <col min="11777" max="11777" width="27.28515625" customWidth="1"/>
    <col min="11778" max="11778" width="6.140625" customWidth="1"/>
    <col min="11779" max="11779" width="11" customWidth="1"/>
    <col min="11780" max="11780" width="12.42578125" customWidth="1"/>
    <col min="11781" max="11781" width="11.42578125" bestFit="1" customWidth="1"/>
    <col min="11782" max="11782" width="11.7109375" bestFit="1" customWidth="1"/>
    <col min="11783" max="11783" width="11.140625" bestFit="1" customWidth="1"/>
    <col min="11784" max="11784" width="10" bestFit="1" customWidth="1"/>
    <col min="11785" max="11785" width="9.85546875" bestFit="1" customWidth="1"/>
    <col min="12033" max="12033" width="27.28515625" customWidth="1"/>
    <col min="12034" max="12034" width="6.140625" customWidth="1"/>
    <col min="12035" max="12035" width="11" customWidth="1"/>
    <col min="12036" max="12036" width="12.42578125" customWidth="1"/>
    <col min="12037" max="12037" width="11.42578125" bestFit="1" customWidth="1"/>
    <col min="12038" max="12038" width="11.7109375" bestFit="1" customWidth="1"/>
    <col min="12039" max="12039" width="11.140625" bestFit="1" customWidth="1"/>
    <col min="12040" max="12040" width="10" bestFit="1" customWidth="1"/>
    <col min="12041" max="12041" width="9.85546875" bestFit="1" customWidth="1"/>
    <col min="12289" max="12289" width="27.28515625" customWidth="1"/>
    <col min="12290" max="12290" width="6.140625" customWidth="1"/>
    <col min="12291" max="12291" width="11" customWidth="1"/>
    <col min="12292" max="12292" width="12.42578125" customWidth="1"/>
    <col min="12293" max="12293" width="11.42578125" bestFit="1" customWidth="1"/>
    <col min="12294" max="12294" width="11.7109375" bestFit="1" customWidth="1"/>
    <col min="12295" max="12295" width="11.140625" bestFit="1" customWidth="1"/>
    <col min="12296" max="12296" width="10" bestFit="1" customWidth="1"/>
    <col min="12297" max="12297" width="9.85546875" bestFit="1" customWidth="1"/>
    <col min="12545" max="12545" width="27.28515625" customWidth="1"/>
    <col min="12546" max="12546" width="6.140625" customWidth="1"/>
    <col min="12547" max="12547" width="11" customWidth="1"/>
    <col min="12548" max="12548" width="12.42578125" customWidth="1"/>
    <col min="12549" max="12549" width="11.42578125" bestFit="1" customWidth="1"/>
    <col min="12550" max="12550" width="11.7109375" bestFit="1" customWidth="1"/>
    <col min="12551" max="12551" width="11.140625" bestFit="1" customWidth="1"/>
    <col min="12552" max="12552" width="10" bestFit="1" customWidth="1"/>
    <col min="12553" max="12553" width="9.85546875" bestFit="1" customWidth="1"/>
    <col min="12801" max="12801" width="27.28515625" customWidth="1"/>
    <col min="12802" max="12802" width="6.140625" customWidth="1"/>
    <col min="12803" max="12803" width="11" customWidth="1"/>
    <col min="12804" max="12804" width="12.42578125" customWidth="1"/>
    <col min="12805" max="12805" width="11.42578125" bestFit="1" customWidth="1"/>
    <col min="12806" max="12806" width="11.7109375" bestFit="1" customWidth="1"/>
    <col min="12807" max="12807" width="11.140625" bestFit="1" customWidth="1"/>
    <col min="12808" max="12808" width="10" bestFit="1" customWidth="1"/>
    <col min="12809" max="12809" width="9.85546875" bestFit="1" customWidth="1"/>
    <col min="13057" max="13057" width="27.28515625" customWidth="1"/>
    <col min="13058" max="13058" width="6.140625" customWidth="1"/>
    <col min="13059" max="13059" width="11" customWidth="1"/>
    <col min="13060" max="13060" width="12.42578125" customWidth="1"/>
    <col min="13061" max="13061" width="11.42578125" bestFit="1" customWidth="1"/>
    <col min="13062" max="13062" width="11.7109375" bestFit="1" customWidth="1"/>
    <col min="13063" max="13063" width="11.140625" bestFit="1" customWidth="1"/>
    <col min="13064" max="13064" width="10" bestFit="1" customWidth="1"/>
    <col min="13065" max="13065" width="9.85546875" bestFit="1" customWidth="1"/>
    <col min="13313" max="13313" width="27.28515625" customWidth="1"/>
    <col min="13314" max="13314" width="6.140625" customWidth="1"/>
    <col min="13315" max="13315" width="11" customWidth="1"/>
    <col min="13316" max="13316" width="12.42578125" customWidth="1"/>
    <col min="13317" max="13317" width="11.42578125" bestFit="1" customWidth="1"/>
    <col min="13318" max="13318" width="11.7109375" bestFit="1" customWidth="1"/>
    <col min="13319" max="13319" width="11.140625" bestFit="1" customWidth="1"/>
    <col min="13320" max="13320" width="10" bestFit="1" customWidth="1"/>
    <col min="13321" max="13321" width="9.85546875" bestFit="1" customWidth="1"/>
    <col min="13569" max="13569" width="27.28515625" customWidth="1"/>
    <col min="13570" max="13570" width="6.140625" customWidth="1"/>
    <col min="13571" max="13571" width="11" customWidth="1"/>
    <col min="13572" max="13572" width="12.42578125" customWidth="1"/>
    <col min="13573" max="13573" width="11.42578125" bestFit="1" customWidth="1"/>
    <col min="13574" max="13574" width="11.7109375" bestFit="1" customWidth="1"/>
    <col min="13575" max="13575" width="11.140625" bestFit="1" customWidth="1"/>
    <col min="13576" max="13576" width="10" bestFit="1" customWidth="1"/>
    <col min="13577" max="13577" width="9.85546875" bestFit="1" customWidth="1"/>
    <col min="13825" max="13825" width="27.28515625" customWidth="1"/>
    <col min="13826" max="13826" width="6.140625" customWidth="1"/>
    <col min="13827" max="13827" width="11" customWidth="1"/>
    <col min="13828" max="13828" width="12.42578125" customWidth="1"/>
    <col min="13829" max="13829" width="11.42578125" bestFit="1" customWidth="1"/>
    <col min="13830" max="13830" width="11.7109375" bestFit="1" customWidth="1"/>
    <col min="13831" max="13831" width="11.140625" bestFit="1" customWidth="1"/>
    <col min="13832" max="13832" width="10" bestFit="1" customWidth="1"/>
    <col min="13833" max="13833" width="9.85546875" bestFit="1" customWidth="1"/>
    <col min="14081" max="14081" width="27.28515625" customWidth="1"/>
    <col min="14082" max="14082" width="6.140625" customWidth="1"/>
    <col min="14083" max="14083" width="11" customWidth="1"/>
    <col min="14084" max="14084" width="12.42578125" customWidth="1"/>
    <col min="14085" max="14085" width="11.42578125" bestFit="1" customWidth="1"/>
    <col min="14086" max="14086" width="11.7109375" bestFit="1" customWidth="1"/>
    <col min="14087" max="14087" width="11.140625" bestFit="1" customWidth="1"/>
    <col min="14088" max="14088" width="10" bestFit="1" customWidth="1"/>
    <col min="14089" max="14089" width="9.85546875" bestFit="1" customWidth="1"/>
    <col min="14337" max="14337" width="27.28515625" customWidth="1"/>
    <col min="14338" max="14338" width="6.140625" customWidth="1"/>
    <col min="14339" max="14339" width="11" customWidth="1"/>
    <col min="14340" max="14340" width="12.42578125" customWidth="1"/>
    <col min="14341" max="14341" width="11.42578125" bestFit="1" customWidth="1"/>
    <col min="14342" max="14342" width="11.7109375" bestFit="1" customWidth="1"/>
    <col min="14343" max="14343" width="11.140625" bestFit="1" customWidth="1"/>
    <col min="14344" max="14344" width="10" bestFit="1" customWidth="1"/>
    <col min="14345" max="14345" width="9.85546875" bestFit="1" customWidth="1"/>
    <col min="14593" max="14593" width="27.28515625" customWidth="1"/>
    <col min="14594" max="14594" width="6.140625" customWidth="1"/>
    <col min="14595" max="14595" width="11" customWidth="1"/>
    <col min="14596" max="14596" width="12.42578125" customWidth="1"/>
    <col min="14597" max="14597" width="11.42578125" bestFit="1" customWidth="1"/>
    <col min="14598" max="14598" width="11.7109375" bestFit="1" customWidth="1"/>
    <col min="14599" max="14599" width="11.140625" bestFit="1" customWidth="1"/>
    <col min="14600" max="14600" width="10" bestFit="1" customWidth="1"/>
    <col min="14601" max="14601" width="9.85546875" bestFit="1" customWidth="1"/>
    <col min="14849" max="14849" width="27.28515625" customWidth="1"/>
    <col min="14850" max="14850" width="6.140625" customWidth="1"/>
    <col min="14851" max="14851" width="11" customWidth="1"/>
    <col min="14852" max="14852" width="12.42578125" customWidth="1"/>
    <col min="14853" max="14853" width="11.42578125" bestFit="1" customWidth="1"/>
    <col min="14854" max="14854" width="11.7109375" bestFit="1" customWidth="1"/>
    <col min="14855" max="14855" width="11.140625" bestFit="1" customWidth="1"/>
    <col min="14856" max="14856" width="10" bestFit="1" customWidth="1"/>
    <col min="14857" max="14857" width="9.85546875" bestFit="1" customWidth="1"/>
    <col min="15105" max="15105" width="27.28515625" customWidth="1"/>
    <col min="15106" max="15106" width="6.140625" customWidth="1"/>
    <col min="15107" max="15107" width="11" customWidth="1"/>
    <col min="15108" max="15108" width="12.42578125" customWidth="1"/>
    <col min="15109" max="15109" width="11.42578125" bestFit="1" customWidth="1"/>
    <col min="15110" max="15110" width="11.7109375" bestFit="1" customWidth="1"/>
    <col min="15111" max="15111" width="11.140625" bestFit="1" customWidth="1"/>
    <col min="15112" max="15112" width="10" bestFit="1" customWidth="1"/>
    <col min="15113" max="15113" width="9.85546875" bestFit="1" customWidth="1"/>
    <col min="15361" max="15361" width="27.28515625" customWidth="1"/>
    <col min="15362" max="15362" width="6.140625" customWidth="1"/>
    <col min="15363" max="15363" width="11" customWidth="1"/>
    <col min="15364" max="15364" width="12.42578125" customWidth="1"/>
    <col min="15365" max="15365" width="11.42578125" bestFit="1" customWidth="1"/>
    <col min="15366" max="15366" width="11.7109375" bestFit="1" customWidth="1"/>
    <col min="15367" max="15367" width="11.140625" bestFit="1" customWidth="1"/>
    <col min="15368" max="15368" width="10" bestFit="1" customWidth="1"/>
    <col min="15369" max="15369" width="9.85546875" bestFit="1" customWidth="1"/>
    <col min="15617" max="15617" width="27.28515625" customWidth="1"/>
    <col min="15618" max="15618" width="6.140625" customWidth="1"/>
    <col min="15619" max="15619" width="11" customWidth="1"/>
    <col min="15620" max="15620" width="12.42578125" customWidth="1"/>
    <col min="15621" max="15621" width="11.42578125" bestFit="1" customWidth="1"/>
    <col min="15622" max="15622" width="11.7109375" bestFit="1" customWidth="1"/>
    <col min="15623" max="15623" width="11.140625" bestFit="1" customWidth="1"/>
    <col min="15624" max="15624" width="10" bestFit="1" customWidth="1"/>
    <col min="15625" max="15625" width="9.85546875" bestFit="1" customWidth="1"/>
    <col min="15873" max="15873" width="27.28515625" customWidth="1"/>
    <col min="15874" max="15874" width="6.140625" customWidth="1"/>
    <col min="15875" max="15875" width="11" customWidth="1"/>
    <col min="15876" max="15876" width="12.42578125" customWidth="1"/>
    <col min="15877" max="15877" width="11.42578125" bestFit="1" customWidth="1"/>
    <col min="15878" max="15878" width="11.7109375" bestFit="1" customWidth="1"/>
    <col min="15879" max="15879" width="11.140625" bestFit="1" customWidth="1"/>
    <col min="15880" max="15880" width="10" bestFit="1" customWidth="1"/>
    <col min="15881" max="15881" width="9.85546875" bestFit="1" customWidth="1"/>
    <col min="16129" max="16129" width="27.28515625" customWidth="1"/>
    <col min="16130" max="16130" width="6.140625" customWidth="1"/>
    <col min="16131" max="16131" width="11" customWidth="1"/>
    <col min="16132" max="16132" width="12.42578125" customWidth="1"/>
    <col min="16133" max="16133" width="11.42578125" bestFit="1" customWidth="1"/>
    <col min="16134" max="16134" width="11.7109375" bestFit="1" customWidth="1"/>
    <col min="16135" max="16135" width="11.140625" bestFit="1" customWidth="1"/>
    <col min="16136" max="16136" width="10" bestFit="1" customWidth="1"/>
    <col min="16137" max="16137" width="9.85546875" bestFit="1" customWidth="1"/>
  </cols>
  <sheetData>
    <row r="1" spans="1:9" x14ac:dyDescent="0.25">
      <c r="A1" s="106" t="s">
        <v>0</v>
      </c>
      <c r="B1" s="106"/>
      <c r="C1" s="106"/>
      <c r="D1" s="106"/>
      <c r="E1" s="106"/>
      <c r="F1" s="106"/>
      <c r="G1" s="106"/>
      <c r="H1" s="106"/>
      <c r="I1" s="106"/>
    </row>
    <row r="2" spans="1:9" x14ac:dyDescent="0.25">
      <c r="A2" s="107" t="s">
        <v>1</v>
      </c>
      <c r="B2" s="107"/>
      <c r="C2" s="107"/>
      <c r="D2" s="107"/>
      <c r="E2" s="107"/>
      <c r="F2" s="107"/>
      <c r="G2" s="107"/>
      <c r="H2" s="107"/>
      <c r="I2" s="107"/>
    </row>
    <row r="3" spans="1:9" x14ac:dyDescent="0.25">
      <c r="A3" s="107" t="s">
        <v>2</v>
      </c>
      <c r="B3" s="107"/>
      <c r="C3" s="107"/>
      <c r="D3" s="107"/>
      <c r="E3" s="107"/>
      <c r="F3" s="107"/>
      <c r="G3" s="107"/>
      <c r="H3" s="107"/>
      <c r="I3" s="107"/>
    </row>
    <row r="4" spans="1:9" x14ac:dyDescent="0.25">
      <c r="A4" s="107" t="s">
        <v>3</v>
      </c>
      <c r="B4" s="107"/>
      <c r="C4" s="107"/>
      <c r="D4" s="107"/>
      <c r="E4" s="107"/>
      <c r="F4" s="107"/>
      <c r="G4" s="107"/>
      <c r="H4" s="107"/>
      <c r="I4" s="107"/>
    </row>
    <row r="5" spans="1:9" x14ac:dyDescent="0.25">
      <c r="A5" s="1" t="s">
        <v>4</v>
      </c>
      <c r="B5" s="2">
        <v>2</v>
      </c>
      <c r="C5" s="1"/>
      <c r="D5" s="1"/>
      <c r="E5" s="1"/>
      <c r="F5" s="1"/>
      <c r="G5" s="1"/>
      <c r="H5" s="1"/>
      <c r="I5" s="1"/>
    </row>
    <row r="6" spans="1:9" x14ac:dyDescent="0.25">
      <c r="A6" s="1" t="s">
        <v>5</v>
      </c>
      <c r="B6" s="2">
        <v>5000</v>
      </c>
      <c r="C6" s="1"/>
      <c r="D6" s="1"/>
      <c r="E6" s="1"/>
      <c r="F6" s="1"/>
      <c r="G6" s="1"/>
      <c r="H6" s="1"/>
      <c r="I6" s="1"/>
    </row>
    <row r="7" spans="1:9" x14ac:dyDescent="0.25">
      <c r="A7" s="1"/>
      <c r="B7" s="1"/>
      <c r="C7" s="1"/>
      <c r="D7" s="1"/>
      <c r="E7" s="1"/>
      <c r="F7" s="1"/>
      <c r="G7" s="1"/>
      <c r="H7" s="1"/>
      <c r="I7" s="1"/>
    </row>
    <row r="8" spans="1:9" x14ac:dyDescent="0.25">
      <c r="A8" s="1"/>
      <c r="B8" s="1"/>
      <c r="C8" s="1"/>
      <c r="D8" s="1"/>
      <c r="E8" s="108" t="s">
        <v>6</v>
      </c>
      <c r="F8" s="108"/>
      <c r="G8" s="108"/>
      <c r="H8" s="108"/>
      <c r="I8" s="108"/>
    </row>
    <row r="9" spans="1:9" x14ac:dyDescent="0.25">
      <c r="A9" s="1"/>
      <c r="B9" s="1"/>
      <c r="C9" s="1"/>
      <c r="D9" s="1"/>
      <c r="E9" s="3" t="s">
        <v>7</v>
      </c>
      <c r="F9" s="3" t="s">
        <v>8</v>
      </c>
      <c r="G9" s="3" t="s">
        <v>9</v>
      </c>
      <c r="H9" s="3" t="s">
        <v>10</v>
      </c>
      <c r="I9" s="4" t="s">
        <v>11</v>
      </c>
    </row>
    <row r="10" spans="1:9" ht="45" x14ac:dyDescent="0.25">
      <c r="A10" s="1" t="s">
        <v>12</v>
      </c>
      <c r="B10" s="5" t="s">
        <v>13</v>
      </c>
      <c r="C10" s="6" t="s">
        <v>14</v>
      </c>
      <c r="D10" s="6" t="s">
        <v>15</v>
      </c>
      <c r="E10" s="3">
        <v>1</v>
      </c>
      <c r="F10" s="3">
        <v>1</v>
      </c>
      <c r="G10" s="3">
        <v>0.2</v>
      </c>
      <c r="H10" s="3">
        <v>0</v>
      </c>
      <c r="I10" s="4">
        <v>0</v>
      </c>
    </row>
    <row r="11" spans="1:9" x14ac:dyDescent="0.25">
      <c r="A11" s="109" t="s">
        <v>16</v>
      </c>
      <c r="B11" s="110"/>
      <c r="C11" s="110"/>
      <c r="D11" s="110"/>
      <c r="E11" s="110"/>
      <c r="F11" s="110"/>
      <c r="G11" s="110"/>
      <c r="H11" s="110"/>
      <c r="I11" s="110"/>
    </row>
    <row r="12" spans="1:9" x14ac:dyDescent="0.25">
      <c r="A12" s="7" t="s">
        <v>17</v>
      </c>
      <c r="B12" s="1">
        <v>1</v>
      </c>
      <c r="C12" s="8">
        <f>dtot*fg/(fg+ft+fl+fp)</f>
        <v>2500</v>
      </c>
      <c r="D12" s="8">
        <f>C12/N</f>
        <v>1250</v>
      </c>
      <c r="E12" s="8">
        <f>$D12*$E$10/(SUM($E$10:$I$10))</f>
        <v>568.18181818181813</v>
      </c>
      <c r="F12" s="8">
        <f>$D12*$F$10/(SUM($E$10:$I$10))</f>
        <v>568.18181818181813</v>
      </c>
      <c r="G12" s="8">
        <f>$D12*$G$10/(SUM($E$10:$I$10))</f>
        <v>113.63636363636363</v>
      </c>
      <c r="H12" s="8">
        <f>$D12*$H$10/(SUM($E$10:$I$10))</f>
        <v>0</v>
      </c>
      <c r="I12" s="8">
        <f>$D12*$I$10/(SUM($E$10:$I$10))</f>
        <v>0</v>
      </c>
    </row>
    <row r="13" spans="1:9" x14ac:dyDescent="0.25">
      <c r="A13" s="7" t="s">
        <v>18</v>
      </c>
      <c r="B13" s="1">
        <v>0</v>
      </c>
      <c r="C13" s="8">
        <f>dtot*ft/(fg+ft+fl+fp)</f>
        <v>0</v>
      </c>
      <c r="D13" s="8">
        <f>C13/N</f>
        <v>0</v>
      </c>
      <c r="E13" s="8">
        <f>$D13*$E$10/(SUM($E$10:$I$10))</f>
        <v>0</v>
      </c>
      <c r="F13" s="8">
        <f>$D13*$F$10/(SUM($E$10:$I$10))</f>
        <v>0</v>
      </c>
      <c r="G13" s="8">
        <f>$D13*$G$10/(SUM($E$10:$I$10))</f>
        <v>0</v>
      </c>
      <c r="H13" s="8">
        <f>$D13*$H$10/(SUM($E$10:$I$10))</f>
        <v>0</v>
      </c>
      <c r="I13" s="8">
        <f>$D13*$I$10/(SUM($E$10:$I$10))</f>
        <v>0</v>
      </c>
    </row>
    <row r="14" spans="1:9" x14ac:dyDescent="0.25">
      <c r="A14" s="7" t="s">
        <v>19</v>
      </c>
      <c r="B14" s="1">
        <v>1</v>
      </c>
      <c r="C14" s="8">
        <f>dtot*fl/(fg+ft+fl+fp)</f>
        <v>2500</v>
      </c>
      <c r="D14" s="8">
        <f>C14/N</f>
        <v>1250</v>
      </c>
      <c r="E14" s="8">
        <f>$D14*$E$10/(SUM($E$10:$I$10))</f>
        <v>568.18181818181813</v>
      </c>
      <c r="F14" s="8">
        <f>$D14*$F$10/(SUM($E$10:$I$10))</f>
        <v>568.18181818181813</v>
      </c>
      <c r="G14" s="8">
        <f>$D14*$G$10/(SUM($E$10:$I$10))</f>
        <v>113.63636363636363</v>
      </c>
      <c r="H14" s="8">
        <f>$D14*$H$10/(SUM($E$10:$I$10))</f>
        <v>0</v>
      </c>
      <c r="I14" s="8">
        <f>$D14*$I$10/(SUM($E$10:$I$10))</f>
        <v>0</v>
      </c>
    </row>
    <row r="15" spans="1:9" x14ac:dyDescent="0.25">
      <c r="A15" s="7" t="s">
        <v>20</v>
      </c>
      <c r="B15" s="1">
        <v>0</v>
      </c>
      <c r="C15" s="8">
        <f>dtot*fp/(fg+ft+fl+fp)</f>
        <v>0</v>
      </c>
      <c r="D15" s="8">
        <f>C15/N</f>
        <v>0</v>
      </c>
      <c r="E15" s="8">
        <f>$D15*$E$10/(SUM($E$10:$I$10))</f>
        <v>0</v>
      </c>
      <c r="F15" s="8">
        <f>$D15*$F$10/(SUM($E$10:$I$10))</f>
        <v>0</v>
      </c>
      <c r="G15" s="8">
        <f>$D15*$G$10/(SUM($E$10:$I$10))</f>
        <v>0</v>
      </c>
      <c r="H15" s="8">
        <f>$D15*$H$10/(SUM($E$10:$I$10))</f>
        <v>0</v>
      </c>
      <c r="I15" s="8">
        <f>$D15*$I$10/(SUM($E$10:$I$10))</f>
        <v>0</v>
      </c>
    </row>
    <row r="17" spans="1:9" x14ac:dyDescent="0.25">
      <c r="A17" s="103" t="s">
        <v>21</v>
      </c>
      <c r="B17" s="104"/>
      <c r="C17" s="104"/>
      <c r="D17" s="104"/>
      <c r="E17" s="104"/>
      <c r="F17" s="104"/>
      <c r="G17" s="104"/>
      <c r="H17" s="104"/>
      <c r="I17" s="104"/>
    </row>
    <row r="18" spans="1:9" x14ac:dyDescent="0.25">
      <c r="A18" s="9" t="str">
        <f t="shared" ref="A18:B21" si="0">A12</f>
        <v>Geometric, fg</v>
      </c>
      <c r="B18" s="9">
        <f t="shared" si="0"/>
        <v>1</v>
      </c>
      <c r="C18" s="10">
        <f>dtot*fg/SQRT(fg^2+ft^2+fl^2+fp^2)</f>
        <v>3535.5339059327375</v>
      </c>
      <c r="D18" s="10">
        <f>C18/SQRT(N)</f>
        <v>2499.9999999999995</v>
      </c>
      <c r="E18" s="10">
        <f>$D18*E$10/SQRT($E$10^2+$F$10^2+$G$10^2+$H$10^2+$I$10^2)</f>
        <v>1750.3501050350119</v>
      </c>
      <c r="F18" s="10">
        <f t="shared" ref="F18:I21" si="1">$D18*F$10/SQRT($E$10^2+$F$10^2+$G$10^2+$H$10^2+$I$10^2)</f>
        <v>1750.3501050350119</v>
      </c>
      <c r="G18" s="10">
        <f t="shared" si="1"/>
        <v>350.07002100700242</v>
      </c>
      <c r="H18" s="10">
        <f t="shared" si="1"/>
        <v>0</v>
      </c>
      <c r="I18" s="10">
        <f t="shared" si="1"/>
        <v>0</v>
      </c>
    </row>
    <row r="19" spans="1:9" x14ac:dyDescent="0.25">
      <c r="A19" s="9" t="str">
        <f t="shared" si="0"/>
        <v>Thermal, ft</v>
      </c>
      <c r="B19" s="9">
        <f t="shared" si="0"/>
        <v>0</v>
      </c>
      <c r="C19" s="10">
        <f>dtot*ft/SQRT(fg^2+ft^2+fl^2+fp^2)</f>
        <v>0</v>
      </c>
      <c r="D19" s="10">
        <f>C19/SQRT(N)</f>
        <v>0</v>
      </c>
      <c r="E19" s="10">
        <f>$D19*E$10/SQRT($E$10^2+$F$10^2+$G$10^2+$H$10^2+$I$10^2)</f>
        <v>0</v>
      </c>
      <c r="F19" s="10">
        <f t="shared" si="1"/>
        <v>0</v>
      </c>
      <c r="G19" s="10">
        <f t="shared" si="1"/>
        <v>0</v>
      </c>
      <c r="H19" s="10">
        <f t="shared" si="1"/>
        <v>0</v>
      </c>
      <c r="I19" s="10">
        <f t="shared" si="1"/>
        <v>0</v>
      </c>
    </row>
    <row r="20" spans="1:9" x14ac:dyDescent="0.25">
      <c r="A20" s="9" t="str">
        <f t="shared" si="0"/>
        <v>Load-induced (deflection), fl</v>
      </c>
      <c r="B20" s="9">
        <f t="shared" si="0"/>
        <v>1</v>
      </c>
      <c r="C20" s="10">
        <f>dtot*fl/SQRT(fg^2+ft^2+fl^2+fp^2)</f>
        <v>3535.5339059327375</v>
      </c>
      <c r="D20" s="10">
        <f>C20/SQRT(N)</f>
        <v>2499.9999999999995</v>
      </c>
      <c r="E20" s="10">
        <f>$D20*E$10/SQRT($E$10^2+$F$10^2+$G$10^2+$H$10^2+$I$10^2)</f>
        <v>1750.3501050350119</v>
      </c>
      <c r="F20" s="10">
        <f t="shared" si="1"/>
        <v>1750.3501050350119</v>
      </c>
      <c r="G20" s="10">
        <f t="shared" si="1"/>
        <v>350.07002100700242</v>
      </c>
      <c r="H20" s="10">
        <f t="shared" si="1"/>
        <v>0</v>
      </c>
      <c r="I20" s="10">
        <f t="shared" si="1"/>
        <v>0</v>
      </c>
    </row>
    <row r="21" spans="1:9" x14ac:dyDescent="0.25">
      <c r="A21" s="9" t="str">
        <f t="shared" si="0"/>
        <v>Process, fp</v>
      </c>
      <c r="B21" s="9">
        <f t="shared" si="0"/>
        <v>0</v>
      </c>
      <c r="C21" s="10">
        <f>dtot*fp/SQRT(fg^2+ft^2+fl^2+fp^2)</f>
        <v>0</v>
      </c>
      <c r="D21" s="10">
        <f>C21/SQRT(N)</f>
        <v>0</v>
      </c>
      <c r="E21" s="10">
        <f>$D21*E$10/SQRT($E$10^2+$F$10^2+$G$10^2+$H$10^2+$I$10^2)</f>
        <v>0</v>
      </c>
      <c r="F21" s="10">
        <f t="shared" si="1"/>
        <v>0</v>
      </c>
      <c r="G21" s="10">
        <f t="shared" si="1"/>
        <v>0</v>
      </c>
      <c r="H21" s="10">
        <f t="shared" si="1"/>
        <v>0</v>
      </c>
      <c r="I21" s="10">
        <f t="shared" si="1"/>
        <v>0</v>
      </c>
    </row>
    <row r="23" spans="1:9" x14ac:dyDescent="0.25">
      <c r="A23" s="11"/>
      <c r="B23" s="105" t="s">
        <v>22</v>
      </c>
      <c r="C23" s="105"/>
      <c r="D23" s="105"/>
      <c r="E23" s="105"/>
      <c r="F23" s="105"/>
      <c r="G23" s="105"/>
      <c r="H23" s="105"/>
      <c r="I23" s="105"/>
    </row>
    <row r="24" spans="1:9" x14ac:dyDescent="0.25">
      <c r="A24" s="9" t="str">
        <f t="shared" ref="A24:B27" si="2">A18</f>
        <v>Geometric, fg</v>
      </c>
      <c r="B24" s="12">
        <f t="shared" si="2"/>
        <v>1</v>
      </c>
      <c r="C24" s="8">
        <f>(C12+C18)/2</f>
        <v>3017.766952966369</v>
      </c>
      <c r="D24" s="8">
        <f t="shared" ref="D24:I24" si="3">(D12+D18)/2</f>
        <v>1874.9999999999998</v>
      </c>
      <c r="E24" s="8">
        <f t="shared" si="3"/>
        <v>1159.265961608415</v>
      </c>
      <c r="F24" s="8">
        <f t="shared" si="3"/>
        <v>1159.265961608415</v>
      </c>
      <c r="G24" s="8">
        <f t="shared" si="3"/>
        <v>231.85319232168303</v>
      </c>
      <c r="H24" s="8">
        <f t="shared" si="3"/>
        <v>0</v>
      </c>
      <c r="I24" s="8">
        <f t="shared" si="3"/>
        <v>0</v>
      </c>
    </row>
    <row r="25" spans="1:9" x14ac:dyDescent="0.25">
      <c r="A25" s="9" t="str">
        <f t="shared" si="2"/>
        <v>Thermal, ft</v>
      </c>
      <c r="B25" s="12">
        <f t="shared" si="2"/>
        <v>0</v>
      </c>
      <c r="C25" s="8">
        <f t="shared" ref="C25:I27" si="4">(C13+C19)/2</f>
        <v>0</v>
      </c>
      <c r="D25" s="8">
        <f t="shared" si="4"/>
        <v>0</v>
      </c>
      <c r="E25" s="8">
        <f t="shared" si="4"/>
        <v>0</v>
      </c>
      <c r="F25" s="8">
        <f t="shared" si="4"/>
        <v>0</v>
      </c>
      <c r="G25" s="8">
        <f t="shared" si="4"/>
        <v>0</v>
      </c>
      <c r="H25" s="8">
        <f t="shared" si="4"/>
        <v>0</v>
      </c>
      <c r="I25" s="8">
        <f t="shared" si="4"/>
        <v>0</v>
      </c>
    </row>
    <row r="26" spans="1:9" x14ac:dyDescent="0.25">
      <c r="A26" s="9" t="str">
        <f t="shared" si="2"/>
        <v>Load-induced (deflection), fl</v>
      </c>
      <c r="B26" s="12">
        <f t="shared" si="2"/>
        <v>1</v>
      </c>
      <c r="C26" s="8">
        <f t="shared" si="4"/>
        <v>3017.766952966369</v>
      </c>
      <c r="D26" s="8">
        <f t="shared" si="4"/>
        <v>1874.9999999999998</v>
      </c>
      <c r="E26" s="8">
        <f t="shared" si="4"/>
        <v>1159.265961608415</v>
      </c>
      <c r="F26" s="8">
        <f t="shared" si="4"/>
        <v>1159.265961608415</v>
      </c>
      <c r="G26" s="8">
        <f t="shared" si="4"/>
        <v>231.85319232168303</v>
      </c>
      <c r="H26" s="8">
        <f t="shared" si="4"/>
        <v>0</v>
      </c>
      <c r="I26" s="8">
        <f t="shared" si="4"/>
        <v>0</v>
      </c>
    </row>
    <row r="27" spans="1:9" x14ac:dyDescent="0.25">
      <c r="A27" s="9" t="str">
        <f t="shared" si="2"/>
        <v>Process, fp</v>
      </c>
      <c r="B27" s="12">
        <f t="shared" si="2"/>
        <v>0</v>
      </c>
      <c r="C27" s="8">
        <f t="shared" si="4"/>
        <v>0</v>
      </c>
      <c r="D27" s="8">
        <f t="shared" si="4"/>
        <v>0</v>
      </c>
      <c r="E27" s="8">
        <f t="shared" si="4"/>
        <v>0</v>
      </c>
      <c r="F27" s="8">
        <f t="shared" si="4"/>
        <v>0</v>
      </c>
      <c r="G27" s="8">
        <f t="shared" si="4"/>
        <v>0</v>
      </c>
      <c r="H27" s="8">
        <f t="shared" si="4"/>
        <v>0</v>
      </c>
      <c r="I27" s="8">
        <f t="shared" si="4"/>
        <v>0</v>
      </c>
    </row>
  </sheetData>
  <mergeCells count="8">
    <mergeCell ref="A17:I17"/>
    <mergeCell ref="B23:I23"/>
    <mergeCell ref="A1:I1"/>
    <mergeCell ref="A2:I2"/>
    <mergeCell ref="A3:I3"/>
    <mergeCell ref="A4:I4"/>
    <mergeCell ref="E8:I8"/>
    <mergeCell ref="A11:I1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61"/>
  <sheetViews>
    <sheetView tabSelected="1" topLeftCell="A49" zoomScale="85" zoomScaleNormal="85" workbookViewId="0">
      <selection activeCell="L45" sqref="L45"/>
    </sheetView>
  </sheetViews>
  <sheetFormatPr defaultRowHeight="15" x14ac:dyDescent="0.25"/>
  <cols>
    <col min="1" max="1" width="33.140625" style="17" customWidth="1"/>
    <col min="2" max="2" width="9.140625" style="13"/>
    <col min="3" max="3" width="9.28515625" style="13" customWidth="1"/>
    <col min="4" max="4" width="9.140625" style="13"/>
    <col min="5" max="5" width="20.7109375" style="17" bestFit="1" customWidth="1"/>
    <col min="6" max="7" width="13.42578125" style="17" bestFit="1" customWidth="1"/>
    <col min="8" max="16384" width="9.140625" style="17"/>
  </cols>
  <sheetData>
    <row r="1" spans="1:8" x14ac:dyDescent="0.25">
      <c r="A1" s="35" t="s">
        <v>99</v>
      </c>
      <c r="B1" s="20"/>
      <c r="C1" s="20"/>
      <c r="D1" s="20"/>
    </row>
    <row r="2" spans="1:8" x14ac:dyDescent="0.25">
      <c r="A2" s="36" t="s">
        <v>203</v>
      </c>
      <c r="B2" s="20"/>
      <c r="C2" s="20"/>
      <c r="D2" s="20"/>
    </row>
    <row r="3" spans="1:8" x14ac:dyDescent="0.25">
      <c r="A3" s="37" t="s">
        <v>35</v>
      </c>
      <c r="B3" s="20" t="s">
        <v>207</v>
      </c>
      <c r="C3" s="20">
        <v>0.6</v>
      </c>
      <c r="D3" s="20" t="s">
        <v>37</v>
      </c>
      <c r="F3" s="17" t="s">
        <v>95</v>
      </c>
      <c r="G3" s="17" t="s">
        <v>94</v>
      </c>
    </row>
    <row r="4" spans="1:8" x14ac:dyDescent="0.25">
      <c r="A4" s="37" t="s">
        <v>38</v>
      </c>
      <c r="B4" s="20" t="s">
        <v>32</v>
      </c>
      <c r="C4" s="20">
        <v>1</v>
      </c>
      <c r="D4" s="20" t="s">
        <v>37</v>
      </c>
      <c r="E4" s="17" t="s">
        <v>96</v>
      </c>
      <c r="F4" s="17">
        <v>500</v>
      </c>
      <c r="G4" s="17">
        <v>2700</v>
      </c>
      <c r="H4" s="76" t="s">
        <v>93</v>
      </c>
    </row>
    <row r="5" spans="1:8" x14ac:dyDescent="0.25">
      <c r="A5" s="37" t="s">
        <v>83</v>
      </c>
      <c r="B5" s="20" t="s">
        <v>84</v>
      </c>
      <c r="C5" s="20">
        <f>(1*25.4)/1000</f>
        <v>2.5399999999999999E-2</v>
      </c>
      <c r="D5" s="20" t="s">
        <v>37</v>
      </c>
      <c r="E5" s="17" t="s">
        <v>113</v>
      </c>
      <c r="F5" s="17">
        <f>13*10^9</f>
        <v>13000000000</v>
      </c>
      <c r="G5" s="17">
        <f>69*10^9</f>
        <v>69000000000</v>
      </c>
      <c r="H5" s="17" t="s">
        <v>97</v>
      </c>
    </row>
    <row r="6" spans="1:8" x14ac:dyDescent="0.25">
      <c r="A6" s="132" t="s">
        <v>251</v>
      </c>
      <c r="B6" s="133"/>
      <c r="C6" s="133">
        <v>1</v>
      </c>
      <c r="D6" s="20"/>
    </row>
    <row r="7" spans="1:8" x14ac:dyDescent="0.25">
      <c r="A7" s="77" t="s">
        <v>132</v>
      </c>
      <c r="B7" s="78" t="s">
        <v>133</v>
      </c>
      <c r="C7" s="78">
        <f>C3*C5*C4*F4</f>
        <v>7.6199999999999992</v>
      </c>
      <c r="D7" s="78" t="s">
        <v>134</v>
      </c>
      <c r="E7" s="17" t="s">
        <v>212</v>
      </c>
      <c r="F7" s="17">
        <f>1.2*10^9</f>
        <v>1200000000</v>
      </c>
      <c r="G7" s="17">
        <f>24*10^9</f>
        <v>24000000000</v>
      </c>
      <c r="H7" s="76" t="s">
        <v>93</v>
      </c>
    </row>
    <row r="8" spans="1:8" x14ac:dyDescent="0.25">
      <c r="A8" s="77" t="s">
        <v>110</v>
      </c>
      <c r="B8" s="78" t="s">
        <v>112</v>
      </c>
      <c r="C8" s="78">
        <f>(C4*C5^3)/12</f>
        <v>1.3655886666666667E-6</v>
      </c>
      <c r="D8" s="78" t="s">
        <v>109</v>
      </c>
      <c r="F8" s="17" t="s">
        <v>250</v>
      </c>
    </row>
    <row r="9" spans="1:8" x14ac:dyDescent="0.25">
      <c r="A9" s="77" t="s">
        <v>248</v>
      </c>
      <c r="B9" s="78" t="s">
        <v>249</v>
      </c>
      <c r="C9" s="78">
        <f>'Tapered Cantilever'!H24</f>
        <v>2.2049649165590778E-4</v>
      </c>
      <c r="D9" s="78" t="s">
        <v>109</v>
      </c>
    </row>
    <row r="10" spans="1:8" x14ac:dyDescent="0.25">
      <c r="A10" s="36" t="s">
        <v>100</v>
      </c>
      <c r="B10" s="20"/>
      <c r="C10" s="20"/>
      <c r="D10" s="20"/>
    </row>
    <row r="11" spans="1:8" x14ac:dyDescent="0.25">
      <c r="A11" s="37" t="s">
        <v>101</v>
      </c>
      <c r="B11" s="20" t="s">
        <v>102</v>
      </c>
      <c r="C11" s="38">
        <f>C33+'Bearing Length'!C7/2000</f>
        <v>1.3078268526288563</v>
      </c>
      <c r="D11" s="20" t="s">
        <v>37</v>
      </c>
    </row>
    <row r="12" spans="1:8" x14ac:dyDescent="0.25">
      <c r="A12" s="37" t="s">
        <v>103</v>
      </c>
      <c r="B12" s="20" t="s">
        <v>104</v>
      </c>
      <c r="C12" s="20">
        <f>E12*25.4/1000</f>
        <v>0.1016</v>
      </c>
      <c r="D12" s="20" t="s">
        <v>37</v>
      </c>
      <c r="E12" s="17">
        <v>4</v>
      </c>
      <c r="F12" s="17" t="s">
        <v>33</v>
      </c>
    </row>
    <row r="13" spans="1:8" x14ac:dyDescent="0.25">
      <c r="A13" s="37" t="s">
        <v>105</v>
      </c>
      <c r="B13" s="20" t="s">
        <v>106</v>
      </c>
      <c r="C13" s="20">
        <f>E13*25.4/1000</f>
        <v>0.1016</v>
      </c>
      <c r="D13" s="20" t="s">
        <v>37</v>
      </c>
      <c r="E13" s="17">
        <v>4</v>
      </c>
      <c r="F13" s="17" t="s">
        <v>33</v>
      </c>
    </row>
    <row r="14" spans="1:8" x14ac:dyDescent="0.25">
      <c r="A14" s="77" t="s">
        <v>111</v>
      </c>
      <c r="B14" s="78" t="s">
        <v>98</v>
      </c>
      <c r="C14" s="78">
        <f>C12*C13^3/12</f>
        <v>8.8796037461333326E-6</v>
      </c>
      <c r="D14" s="78" t="s">
        <v>109</v>
      </c>
    </row>
    <row r="15" spans="1:8" x14ac:dyDescent="0.25">
      <c r="A15" s="36" t="s">
        <v>204</v>
      </c>
      <c r="B15" s="20"/>
      <c r="C15" s="20"/>
      <c r="D15" s="20"/>
    </row>
    <row r="16" spans="1:8" x14ac:dyDescent="0.25">
      <c r="A16" s="37" t="s">
        <v>210</v>
      </c>
      <c r="B16" s="20" t="s">
        <v>205</v>
      </c>
      <c r="C16" s="20">
        <v>0.7</v>
      </c>
      <c r="D16" s="20" t="s">
        <v>37</v>
      </c>
    </row>
    <row r="17" spans="1:5" x14ac:dyDescent="0.25">
      <c r="A17" s="37" t="s">
        <v>216</v>
      </c>
      <c r="B17" s="20" t="s">
        <v>241</v>
      </c>
      <c r="C17" s="20">
        <f>4*25.4/1000</f>
        <v>0.1016</v>
      </c>
      <c r="D17" s="20" t="s">
        <v>37</v>
      </c>
    </row>
    <row r="18" spans="1:5" x14ac:dyDescent="0.25">
      <c r="A18" s="37" t="s">
        <v>217</v>
      </c>
      <c r="B18" s="20" t="s">
        <v>242</v>
      </c>
      <c r="C18" s="20">
        <f>4*25.4/1000</f>
        <v>0.1016</v>
      </c>
      <c r="D18" s="20" t="s">
        <v>37</v>
      </c>
    </row>
    <row r="19" spans="1:5" x14ac:dyDescent="0.25">
      <c r="A19" s="77" t="s">
        <v>245</v>
      </c>
      <c r="B19" s="78"/>
      <c r="C19" s="78">
        <f>C17/C18</f>
        <v>1</v>
      </c>
      <c r="D19" s="20"/>
    </row>
    <row r="20" spans="1:5" x14ac:dyDescent="0.25">
      <c r="A20" s="94" t="s">
        <v>246</v>
      </c>
      <c r="B20" s="78"/>
      <c r="C20" s="95">
        <v>0.22900000000000001</v>
      </c>
      <c r="D20" s="20"/>
    </row>
    <row r="21" spans="1:5" x14ac:dyDescent="0.25">
      <c r="A21" s="77" t="s">
        <v>244</v>
      </c>
      <c r="B21" s="78" t="s">
        <v>123</v>
      </c>
      <c r="C21" s="78">
        <f>C17*C18^3*C20</f>
        <v>2.4401151094374401E-5</v>
      </c>
      <c r="D21" s="78" t="s">
        <v>109</v>
      </c>
      <c r="E21" s="76" t="s">
        <v>243</v>
      </c>
    </row>
    <row r="22" spans="1:5" x14ac:dyDescent="0.25">
      <c r="A22" s="97" t="s">
        <v>230</v>
      </c>
      <c r="B22" s="98" t="s">
        <v>206</v>
      </c>
      <c r="C22" s="98">
        <f>3.5*25.4/1000</f>
        <v>8.8899999999999993E-2</v>
      </c>
      <c r="D22" s="98" t="s">
        <v>37</v>
      </c>
    </row>
    <row r="23" spans="1:5" x14ac:dyDescent="0.25">
      <c r="A23" s="96" t="s">
        <v>213</v>
      </c>
      <c r="B23" s="78" t="s">
        <v>123</v>
      </c>
      <c r="C23" s="78">
        <f>PI()*C22^4/32</f>
        <v>6.1320676618133926E-6</v>
      </c>
      <c r="D23" s="78" t="s">
        <v>109</v>
      </c>
    </row>
    <row r="24" spans="1:5" x14ac:dyDescent="0.25">
      <c r="A24" s="37"/>
      <c r="B24" s="20"/>
      <c r="C24" s="20"/>
      <c r="D24" s="20"/>
    </row>
    <row r="25" spans="1:5" x14ac:dyDescent="0.25">
      <c r="A25" s="36" t="s">
        <v>208</v>
      </c>
      <c r="B25" s="20"/>
      <c r="C25" s="20"/>
      <c r="D25" s="20"/>
    </row>
    <row r="26" spans="1:5" x14ac:dyDescent="0.25">
      <c r="A26" s="37" t="s">
        <v>209</v>
      </c>
      <c r="B26" s="20" t="s">
        <v>211</v>
      </c>
      <c r="C26" s="20">
        <v>0.5</v>
      </c>
      <c r="D26" s="20" t="s">
        <v>37</v>
      </c>
    </row>
    <row r="27" spans="1:5" x14ac:dyDescent="0.25">
      <c r="A27" s="37" t="s">
        <v>216</v>
      </c>
      <c r="B27" s="20" t="s">
        <v>240</v>
      </c>
      <c r="C27" s="20">
        <f>4*25.4/1000</f>
        <v>0.1016</v>
      </c>
      <c r="D27" s="20" t="s">
        <v>37</v>
      </c>
    </row>
    <row r="28" spans="1:5" x14ac:dyDescent="0.25">
      <c r="A28" s="37" t="s">
        <v>217</v>
      </c>
      <c r="B28" s="20" t="s">
        <v>218</v>
      </c>
      <c r="C28" s="20">
        <f>2*25.4/1000</f>
        <v>5.0799999999999998E-2</v>
      </c>
      <c r="D28" s="20" t="s">
        <v>37</v>
      </c>
    </row>
    <row r="29" spans="1:5" x14ac:dyDescent="0.25">
      <c r="A29" s="77" t="s">
        <v>214</v>
      </c>
      <c r="B29" s="78" t="s">
        <v>215</v>
      </c>
      <c r="C29" s="78">
        <f>C27*C28^3/12</f>
        <v>1.1099504682666666E-6</v>
      </c>
      <c r="D29" s="78" t="s">
        <v>109</v>
      </c>
    </row>
    <row r="30" spans="1:5" x14ac:dyDescent="0.25">
      <c r="A30" s="77"/>
      <c r="B30" s="78"/>
      <c r="C30" s="78"/>
      <c r="D30" s="78"/>
    </row>
    <row r="31" spans="1:5" x14ac:dyDescent="0.25">
      <c r="A31" s="36" t="s">
        <v>107</v>
      </c>
      <c r="B31" s="20"/>
      <c r="C31" s="20"/>
      <c r="D31" s="20"/>
    </row>
    <row r="32" spans="1:5" x14ac:dyDescent="0.25">
      <c r="A32" s="37" t="s">
        <v>85</v>
      </c>
      <c r="B32" s="20" t="s">
        <v>86</v>
      </c>
      <c r="C32" s="20">
        <f>0.762</f>
        <v>0.76200000000000001</v>
      </c>
      <c r="D32" s="20" t="s">
        <v>37</v>
      </c>
    </row>
    <row r="33" spans="1:6" x14ac:dyDescent="0.25">
      <c r="A33" s="37" t="s">
        <v>87</v>
      </c>
      <c r="B33" s="20" t="s">
        <v>88</v>
      </c>
      <c r="C33" s="20">
        <v>1.2</v>
      </c>
      <c r="D33" s="20" t="s">
        <v>37</v>
      </c>
    </row>
    <row r="34" spans="1:6" x14ac:dyDescent="0.25">
      <c r="A34" s="37"/>
      <c r="B34" s="20"/>
      <c r="C34" s="20"/>
      <c r="D34" s="20"/>
    </row>
    <row r="35" spans="1:6" x14ac:dyDescent="0.25">
      <c r="A35" s="35" t="s">
        <v>108</v>
      </c>
      <c r="B35" s="20"/>
      <c r="C35" s="20"/>
      <c r="D35" s="20"/>
    </row>
    <row r="36" spans="1:6" x14ac:dyDescent="0.25">
      <c r="A36" s="39" t="s">
        <v>89</v>
      </c>
      <c r="B36" s="20" t="s">
        <v>90</v>
      </c>
      <c r="C36" s="20">
        <v>300</v>
      </c>
      <c r="D36" s="20" t="s">
        <v>72</v>
      </c>
    </row>
    <row r="37" spans="1:6" x14ac:dyDescent="0.25">
      <c r="A37" s="79" t="s">
        <v>91</v>
      </c>
      <c r="B37" s="78" t="s">
        <v>92</v>
      </c>
      <c r="C37" s="78">
        <f>C36*C3</f>
        <v>180</v>
      </c>
      <c r="D37" s="78" t="s">
        <v>64</v>
      </c>
    </row>
    <row r="38" spans="1:6" x14ac:dyDescent="0.25">
      <c r="B38" s="17"/>
      <c r="C38" s="17"/>
      <c r="D38" s="17"/>
    </row>
    <row r="39" spans="1:6" x14ac:dyDescent="0.25">
      <c r="A39" s="81" t="s">
        <v>222</v>
      </c>
      <c r="B39" s="17"/>
      <c r="C39" s="17"/>
      <c r="D39" s="17"/>
    </row>
    <row r="40" spans="1:6" x14ac:dyDescent="0.25">
      <c r="A40" s="82" t="s">
        <v>229</v>
      </c>
      <c r="B40" s="83" t="s">
        <v>221</v>
      </c>
      <c r="C40" s="83">
        <f>defl*10^-3/'Structure Analysis'!C3</f>
        <v>1.2559069527293194E-5</v>
      </c>
      <c r="D40" s="83" t="s">
        <v>114</v>
      </c>
      <c r="E40" s="17">
        <f>(C36*C3^3)/(3*F5*C8)</f>
        <v>1.216719574565739E-3</v>
      </c>
      <c r="F40" s="17">
        <f>1.26/10^5</f>
        <v>1.26E-5</v>
      </c>
    </row>
    <row r="41" spans="1:6" x14ac:dyDescent="0.25">
      <c r="A41" s="79" t="s">
        <v>223</v>
      </c>
      <c r="B41" s="78" t="s">
        <v>224</v>
      </c>
      <c r="C41" s="78">
        <f>(C37*C33)/(F5*C14)</f>
        <v>1.8711853693493775E-3</v>
      </c>
      <c r="D41" s="78" t="s">
        <v>114</v>
      </c>
      <c r="E41" s="17">
        <f>E40*1000</f>
        <v>1.2167195745657389</v>
      </c>
    </row>
    <row r="42" spans="1:6" x14ac:dyDescent="0.25">
      <c r="A42" s="79" t="s">
        <v>225</v>
      </c>
      <c r="B42" s="78" t="s">
        <v>226</v>
      </c>
      <c r="C42" s="78">
        <f>(C37*C16*0.25)/(C21*F7)</f>
        <v>1.075768921657628E-3</v>
      </c>
      <c r="D42" s="78" t="s">
        <v>114</v>
      </c>
    </row>
    <row r="43" spans="1:6" x14ac:dyDescent="0.25">
      <c r="A43" s="79" t="s">
        <v>227</v>
      </c>
      <c r="B43" s="78" t="s">
        <v>228</v>
      </c>
      <c r="C43" s="78">
        <f>(0.25*C37*C26)/(C29*F5)</f>
        <v>1.5593211411244813E-3</v>
      </c>
      <c r="D43" s="78" t="s">
        <v>114</v>
      </c>
    </row>
    <row r="44" spans="1:6" x14ac:dyDescent="0.25">
      <c r="A44" s="39"/>
      <c r="B44" s="20"/>
      <c r="C44" s="20"/>
      <c r="D44" s="20"/>
    </row>
    <row r="45" spans="1:6" x14ac:dyDescent="0.25">
      <c r="A45" s="35" t="s">
        <v>145</v>
      </c>
      <c r="B45" s="20"/>
      <c r="C45" s="20"/>
      <c r="D45" s="20"/>
    </row>
    <row r="46" spans="1:6" ht="30" x14ac:dyDescent="0.25">
      <c r="A46" s="84" t="s">
        <v>252</v>
      </c>
      <c r="B46" s="78" t="s">
        <v>220</v>
      </c>
      <c r="C46" s="85">
        <f>IF(C6=1,defl,(1000*(C36*C3^3)/(3*F5*C8)))</f>
        <v>7.5354417163759155E-3</v>
      </c>
      <c r="D46" s="78" t="s">
        <v>235</v>
      </c>
    </row>
    <row r="47" spans="1:6" ht="30" x14ac:dyDescent="0.25">
      <c r="A47" s="84" t="s">
        <v>115</v>
      </c>
      <c r="B47" s="78" t="s">
        <v>219</v>
      </c>
      <c r="C47" s="85">
        <f>C3*C41*1000</f>
        <v>1.1227112216096264</v>
      </c>
      <c r="D47" s="78" t="s">
        <v>235</v>
      </c>
    </row>
    <row r="48" spans="1:6" ht="30" x14ac:dyDescent="0.25">
      <c r="A48" s="84" t="s">
        <v>231</v>
      </c>
      <c r="B48" s="78" t="s">
        <v>233</v>
      </c>
      <c r="C48" s="85">
        <f>C42*C3*1000</f>
        <v>0.64546135299457674</v>
      </c>
      <c r="D48" s="78" t="s">
        <v>235</v>
      </c>
    </row>
    <row r="49" spans="1:4" ht="30" x14ac:dyDescent="0.25">
      <c r="A49" s="84" t="s">
        <v>232</v>
      </c>
      <c r="B49" s="78" t="s">
        <v>234</v>
      </c>
      <c r="C49" s="85">
        <f>C43*C3*1000</f>
        <v>0.9355926846746887</v>
      </c>
      <c r="D49" s="78" t="s">
        <v>235</v>
      </c>
    </row>
    <row r="50" spans="1:4" x14ac:dyDescent="0.25">
      <c r="A50" s="86" t="s">
        <v>127</v>
      </c>
      <c r="B50" s="87" t="s">
        <v>128</v>
      </c>
      <c r="C50" s="88">
        <f>SUM(C46:C49)</f>
        <v>2.7113007009952677</v>
      </c>
      <c r="D50" s="87" t="s">
        <v>235</v>
      </c>
    </row>
    <row r="51" spans="1:4" x14ac:dyDescent="0.25">
      <c r="A51" s="40"/>
      <c r="B51" s="20"/>
      <c r="C51" s="20"/>
      <c r="D51" s="20"/>
    </row>
    <row r="52" spans="1:4" x14ac:dyDescent="0.25">
      <c r="A52" s="35" t="s">
        <v>150</v>
      </c>
      <c r="B52" s="20"/>
      <c r="C52" s="20"/>
      <c r="D52" s="20"/>
    </row>
    <row r="53" spans="1:4" x14ac:dyDescent="0.25">
      <c r="A53" s="89" t="s">
        <v>116</v>
      </c>
      <c r="B53" s="90" t="s">
        <v>117</v>
      </c>
      <c r="C53" s="91">
        <f>C36/C50</f>
        <v>110.64800001337942</v>
      </c>
      <c r="D53" s="90" t="s">
        <v>236</v>
      </c>
    </row>
    <row r="54" spans="1:4" x14ac:dyDescent="0.25">
      <c r="A54" s="79" t="s">
        <v>119</v>
      </c>
      <c r="B54" s="78" t="s">
        <v>120</v>
      </c>
      <c r="C54" s="78">
        <f>C53*1000*C3^2</f>
        <v>39833.280004816588</v>
      </c>
      <c r="D54" s="78" t="s">
        <v>121</v>
      </c>
    </row>
    <row r="55" spans="1:4" x14ac:dyDescent="0.25">
      <c r="A55" s="79" t="s">
        <v>122</v>
      </c>
      <c r="B55" s="78" t="s">
        <v>123</v>
      </c>
      <c r="C55" s="78">
        <f>IF(C6=1,F4*C4*('Bearing Length'!C7/1000)*'Structure Analysis'!C3^3/12,F4*C4*C3^3*C5)</f>
        <v>1.9408833473194145</v>
      </c>
      <c r="D55" s="78" t="s">
        <v>124</v>
      </c>
    </row>
    <row r="56" spans="1:4" x14ac:dyDescent="0.25">
      <c r="A56" s="86" t="s">
        <v>125</v>
      </c>
      <c r="B56" s="87" t="s">
        <v>32</v>
      </c>
      <c r="C56" s="92">
        <f>SQRT(C54/C55)</f>
        <v>143.25946259039682</v>
      </c>
      <c r="D56" s="87" t="s">
        <v>126</v>
      </c>
    </row>
    <row r="57" spans="1:4" x14ac:dyDescent="0.25">
      <c r="A57" s="39"/>
      <c r="B57" s="20"/>
      <c r="C57" s="20"/>
      <c r="D57" s="20"/>
    </row>
    <row r="58" spans="1:4" x14ac:dyDescent="0.25">
      <c r="A58" s="35" t="s">
        <v>237</v>
      </c>
      <c r="B58" s="20"/>
      <c r="C58" s="20"/>
      <c r="D58" s="20"/>
    </row>
    <row r="59" spans="1:4" x14ac:dyDescent="0.25">
      <c r="A59" s="93" t="s">
        <v>238</v>
      </c>
      <c r="B59" s="20" t="s">
        <v>239</v>
      </c>
      <c r="C59" s="20">
        <f>'Error Apportionment'!C26/1000</f>
        <v>3.0177669529663689</v>
      </c>
      <c r="D59" s="20" t="s">
        <v>235</v>
      </c>
    </row>
    <row r="60" spans="1:4" x14ac:dyDescent="0.25">
      <c r="A60" s="39" t="s">
        <v>129</v>
      </c>
      <c r="B60" s="20" t="s">
        <v>130</v>
      </c>
      <c r="C60" s="41">
        <f>C36/C59</f>
        <v>99.41125496954281</v>
      </c>
      <c r="D60" s="20" t="s">
        <v>236</v>
      </c>
    </row>
    <row r="61" spans="1:4" x14ac:dyDescent="0.25">
      <c r="A61" s="39" t="s">
        <v>131</v>
      </c>
      <c r="B61" s="20"/>
      <c r="C61" s="20">
        <f>C60/C53</f>
        <v>0.89844601761913567</v>
      </c>
      <c r="D61" s="20"/>
    </row>
  </sheetData>
  <hyperlinks>
    <hyperlink ref="H4" r:id="rId1"/>
    <hyperlink ref="H7" r:id="rId2"/>
    <hyperlink ref="E21" r:id="rId3"/>
  </hyperlinks>
  <pageMargins left="0.7" right="0.7" top="0.75" bottom="0.75" header="0.3" footer="0.3"/>
  <pageSetup orientation="portrait" r:id="rId4"/>
  <drawing r:id="rId5"/>
  <legacyDrawing r:id="rId6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1"/>
  <sheetViews>
    <sheetView workbookViewId="0">
      <selection activeCell="J17" sqref="J17"/>
    </sheetView>
  </sheetViews>
  <sheetFormatPr defaultRowHeight="15" x14ac:dyDescent="0.25"/>
  <cols>
    <col min="1" max="1" width="19" bestFit="1" customWidth="1"/>
    <col min="2" max="2" width="12.7109375" bestFit="1" customWidth="1"/>
    <col min="6" max="6" width="18.28515625" bestFit="1" customWidth="1"/>
  </cols>
  <sheetData>
    <row r="1" spans="1:4" x14ac:dyDescent="0.25">
      <c r="A1" s="24" t="s">
        <v>269</v>
      </c>
      <c r="B1" s="1"/>
      <c r="C1" s="1"/>
      <c r="D1" s="1"/>
    </row>
    <row r="2" spans="1:4" x14ac:dyDescent="0.25">
      <c r="A2" s="142" t="s">
        <v>253</v>
      </c>
      <c r="B2" s="143" t="s">
        <v>90</v>
      </c>
      <c r="C2" s="143">
        <f>'Structure Analysis'!C36</f>
        <v>300</v>
      </c>
      <c r="D2" s="143" t="s">
        <v>72</v>
      </c>
    </row>
    <row r="3" spans="1:4" x14ac:dyDescent="0.25">
      <c r="A3" s="142" t="s">
        <v>254</v>
      </c>
      <c r="B3" s="143" t="s">
        <v>264</v>
      </c>
      <c r="C3" s="143">
        <f>'Structure Analysis'!F4*'Structure Analysis'!C3*'Structure Analysis'!C4*'Structure Analysis'!C5*9.81</f>
        <v>74.752200000000002</v>
      </c>
      <c r="D3" s="143" t="s">
        <v>72</v>
      </c>
    </row>
    <row r="4" spans="1:4" x14ac:dyDescent="0.25">
      <c r="A4" s="142" t="s">
        <v>255</v>
      </c>
      <c r="B4" s="143" t="s">
        <v>265</v>
      </c>
      <c r="C4" s="143">
        <f>'Structure Analysis'!F4*'Structure Analysis'!C12*'Structure Analysis'!C13*'Structure Analysis'!C11*9.81</f>
        <v>66.21809426955474</v>
      </c>
      <c r="D4" s="143" t="s">
        <v>72</v>
      </c>
    </row>
    <row r="5" spans="1:4" x14ac:dyDescent="0.25">
      <c r="A5" s="142" t="s">
        <v>256</v>
      </c>
      <c r="B5" s="143" t="s">
        <v>266</v>
      </c>
      <c r="C5" s="143">
        <f>'Structure Analysis'!F4*C10*'Structure Analysis'!C17*'Structure Analysis'!C18*9.81</f>
        <v>30.379294080000001</v>
      </c>
      <c r="D5" s="143" t="s">
        <v>72</v>
      </c>
    </row>
    <row r="6" spans="1:4" x14ac:dyDescent="0.25">
      <c r="A6" s="142" t="s">
        <v>257</v>
      </c>
      <c r="B6" s="143" t="s">
        <v>267</v>
      </c>
      <c r="C6" s="143">
        <f>2*'Structure Analysis'!F4*C9*'Structure Analysis'!C27*'Structure Analysis'!C28*9.81</f>
        <v>25.316078399999999</v>
      </c>
      <c r="D6" s="143" t="s">
        <v>72</v>
      </c>
    </row>
    <row r="7" spans="1:4" x14ac:dyDescent="0.25">
      <c r="A7" s="27" t="s">
        <v>270</v>
      </c>
      <c r="B7" s="1"/>
      <c r="C7" s="1"/>
      <c r="D7" s="1"/>
    </row>
    <row r="8" spans="1:4" x14ac:dyDescent="0.25">
      <c r="A8" s="142" t="s">
        <v>140</v>
      </c>
      <c r="B8" s="143" t="s">
        <v>207</v>
      </c>
      <c r="C8" s="143">
        <f>'Structure Analysis'!C3</f>
        <v>0.6</v>
      </c>
      <c r="D8" s="143" t="s">
        <v>37</v>
      </c>
    </row>
    <row r="9" spans="1:4" x14ac:dyDescent="0.25">
      <c r="A9" s="138" t="s">
        <v>258</v>
      </c>
      <c r="B9" s="139" t="s">
        <v>211</v>
      </c>
      <c r="C9" s="139">
        <v>0.5</v>
      </c>
      <c r="D9" s="139" t="s">
        <v>37</v>
      </c>
    </row>
    <row r="10" spans="1:4" x14ac:dyDescent="0.25">
      <c r="A10" s="140" t="s">
        <v>277</v>
      </c>
      <c r="B10" s="141" t="s">
        <v>205</v>
      </c>
      <c r="C10" s="141">
        <v>0.6</v>
      </c>
      <c r="D10" s="141" t="s">
        <v>37</v>
      </c>
    </row>
    <row r="11" spans="1:4" x14ac:dyDescent="0.25">
      <c r="A11" s="146" t="s">
        <v>272</v>
      </c>
      <c r="B11" s="144"/>
      <c r="C11" s="144"/>
      <c r="D11" s="144"/>
    </row>
    <row r="12" spans="1:4" x14ac:dyDescent="0.25">
      <c r="A12" s="147" t="s">
        <v>273</v>
      </c>
      <c r="B12" s="148" t="s">
        <v>274</v>
      </c>
      <c r="C12" s="148">
        <f>'Structure Analysis'!C4</f>
        <v>1</v>
      </c>
      <c r="D12" s="148" t="s">
        <v>37</v>
      </c>
    </row>
    <row r="13" spans="1:4" x14ac:dyDescent="0.25">
      <c r="A13" s="145"/>
      <c r="B13" s="144"/>
      <c r="C13" s="144"/>
      <c r="D13" s="144"/>
    </row>
    <row r="14" spans="1:4" x14ac:dyDescent="0.25">
      <c r="A14" s="146"/>
      <c r="B14" s="144"/>
      <c r="C14" s="144"/>
      <c r="D14" s="144"/>
    </row>
    <row r="15" spans="1:4" x14ac:dyDescent="0.25">
      <c r="A15" s="146"/>
      <c r="B15" s="144"/>
      <c r="C15" s="144"/>
      <c r="D15" s="144"/>
    </row>
    <row r="17" spans="1:9" x14ac:dyDescent="0.25">
      <c r="A17" s="24" t="s">
        <v>276</v>
      </c>
      <c r="B17" s="1"/>
      <c r="C17" s="1"/>
      <c r="F17" s="24" t="s">
        <v>275</v>
      </c>
      <c r="G17" s="1"/>
      <c r="H17" s="1"/>
    </row>
    <row r="18" spans="1:9" x14ac:dyDescent="0.25">
      <c r="A18" s="31" t="s">
        <v>260</v>
      </c>
      <c r="B18" s="137">
        <f t="array" ref="B18:B19">MMULT(C30:D31,C27:C28)</f>
        <v>215.08369919999998</v>
      </c>
      <c r="C18" s="137" t="s">
        <v>72</v>
      </c>
      <c r="F18" s="149" t="s">
        <v>278</v>
      </c>
      <c r="G18" s="150">
        <f t="array" ref="G18:G19">MMULT(H30:I31,H27:H28)</f>
        <v>268.15347548738868</v>
      </c>
      <c r="H18" s="150" t="s">
        <v>72</v>
      </c>
    </row>
    <row r="19" spans="1:9" x14ac:dyDescent="0.25">
      <c r="A19" s="31" t="s">
        <v>259</v>
      </c>
      <c r="B19" s="137">
        <v>45.907173374777386</v>
      </c>
      <c r="C19" s="137" t="s">
        <v>72</v>
      </c>
      <c r="F19" s="149" t="s">
        <v>279</v>
      </c>
      <c r="G19" s="150">
        <v>-7.1626029126113124</v>
      </c>
      <c r="H19" s="150" t="s">
        <v>72</v>
      </c>
    </row>
    <row r="22" spans="1:9" x14ac:dyDescent="0.25">
      <c r="A22" t="s">
        <v>271</v>
      </c>
    </row>
    <row r="23" spans="1:9" x14ac:dyDescent="0.25">
      <c r="A23" s="15" t="s">
        <v>261</v>
      </c>
      <c r="B23" s="15"/>
      <c r="F23" s="15" t="s">
        <v>261</v>
      </c>
      <c r="G23" s="15"/>
    </row>
    <row r="24" spans="1:9" x14ac:dyDescent="0.25">
      <c r="A24" t="s">
        <v>262</v>
      </c>
      <c r="C24" s="134">
        <v>2</v>
      </c>
      <c r="D24" s="135">
        <v>2</v>
      </c>
      <c r="F24" t="s">
        <v>262</v>
      </c>
      <c r="H24" s="134">
        <v>2</v>
      </c>
      <c r="I24" s="135">
        <v>2</v>
      </c>
    </row>
    <row r="25" spans="1:9" x14ac:dyDescent="0.25">
      <c r="C25" s="134">
        <v>2</v>
      </c>
      <c r="D25" s="135">
        <v>0</v>
      </c>
      <c r="H25" s="134">
        <v>0</v>
      </c>
      <c r="I25" s="135">
        <v>2</v>
      </c>
    </row>
    <row r="27" spans="1:9" x14ac:dyDescent="0.25">
      <c r="A27" t="s">
        <v>263</v>
      </c>
      <c r="C27" s="136">
        <f>C2+C3+C4+C5+2*C6</f>
        <v>521.98174514955474</v>
      </c>
      <c r="F27" t="s">
        <v>263</v>
      </c>
      <c r="H27" s="136">
        <f>C2+C3+C4+C5+2*C6</f>
        <v>521.98174514955474</v>
      </c>
    </row>
    <row r="28" spans="1:9" x14ac:dyDescent="0.25">
      <c r="C28" s="136">
        <f>(C2*C8+0.5*C3*C8+C6*C9)/C9</f>
        <v>430.16739839999997</v>
      </c>
      <c r="H28" s="136">
        <f>0.5*((C3+C4+C5)-C2*(C12-C10)/C10)</f>
        <v>-14.325205825222625</v>
      </c>
    </row>
    <row r="30" spans="1:9" x14ac:dyDescent="0.25">
      <c r="A30" t="s">
        <v>268</v>
      </c>
      <c r="C30" s="134">
        <f t="array" ref="C30:D31">MINVERSE(C24:D25)</f>
        <v>0</v>
      </c>
      <c r="D30" s="135">
        <v>0.5</v>
      </c>
      <c r="F30" t="s">
        <v>268</v>
      </c>
      <c r="H30" s="134">
        <f t="array" ref="H30:I31">MINVERSE(H24:I25)</f>
        <v>0.5</v>
      </c>
      <c r="I30" s="135">
        <v>-0.5</v>
      </c>
    </row>
    <row r="31" spans="1:9" x14ac:dyDescent="0.25">
      <c r="C31" s="134">
        <v>0.5</v>
      </c>
      <c r="D31" s="135">
        <v>-0.5</v>
      </c>
      <c r="H31" s="134">
        <v>0</v>
      </c>
      <c r="I31" s="135">
        <v>0.5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6"/>
  <sheetViews>
    <sheetView topLeftCell="A17" workbookViewId="0">
      <selection activeCell="C19" sqref="C19"/>
    </sheetView>
  </sheetViews>
  <sheetFormatPr defaultRowHeight="15.75" x14ac:dyDescent="0.25"/>
  <cols>
    <col min="1" max="1" width="8.85546875" style="46" customWidth="1"/>
    <col min="2" max="2" width="35.28515625" style="46" customWidth="1"/>
    <col min="3" max="3" width="10.5703125" style="46" customWidth="1"/>
    <col min="4" max="4" width="15.42578125" style="46" customWidth="1"/>
    <col min="5" max="5" width="9.140625" style="46" customWidth="1"/>
    <col min="6" max="6" width="9.7109375" style="46" bestFit="1" customWidth="1"/>
    <col min="7" max="7" width="10.140625" style="47" bestFit="1" customWidth="1"/>
    <col min="8" max="8" width="14" style="47" bestFit="1" customWidth="1"/>
    <col min="9" max="13" width="9.140625" style="47" customWidth="1"/>
    <col min="14" max="256" width="9.140625" style="48"/>
    <col min="257" max="257" width="8.85546875" style="48" customWidth="1"/>
    <col min="258" max="258" width="35.28515625" style="48" customWidth="1"/>
    <col min="259" max="259" width="10.5703125" style="48" customWidth="1"/>
    <col min="260" max="260" width="15.42578125" style="48" customWidth="1"/>
    <col min="261" max="261" width="9.140625" style="48" customWidth="1"/>
    <col min="262" max="262" width="9.7109375" style="48" bestFit="1" customWidth="1"/>
    <col min="263" max="263" width="10.140625" style="48" bestFit="1" customWidth="1"/>
    <col min="264" max="264" width="12.42578125" style="48" bestFit="1" customWidth="1"/>
    <col min="265" max="269" width="9.140625" style="48" customWidth="1"/>
    <col min="270" max="512" width="9.140625" style="48"/>
    <col min="513" max="513" width="8.85546875" style="48" customWidth="1"/>
    <col min="514" max="514" width="35.28515625" style="48" customWidth="1"/>
    <col min="515" max="515" width="10.5703125" style="48" customWidth="1"/>
    <col min="516" max="516" width="15.42578125" style="48" customWidth="1"/>
    <col min="517" max="517" width="9.140625" style="48" customWidth="1"/>
    <col min="518" max="518" width="9.7109375" style="48" bestFit="1" customWidth="1"/>
    <col min="519" max="519" width="10.140625" style="48" bestFit="1" customWidth="1"/>
    <col min="520" max="520" width="12.42578125" style="48" bestFit="1" customWidth="1"/>
    <col min="521" max="525" width="9.140625" style="48" customWidth="1"/>
    <col min="526" max="768" width="9.140625" style="48"/>
    <col min="769" max="769" width="8.85546875" style="48" customWidth="1"/>
    <col min="770" max="770" width="35.28515625" style="48" customWidth="1"/>
    <col min="771" max="771" width="10.5703125" style="48" customWidth="1"/>
    <col min="772" max="772" width="15.42578125" style="48" customWidth="1"/>
    <col min="773" max="773" width="9.140625" style="48" customWidth="1"/>
    <col min="774" max="774" width="9.7109375" style="48" bestFit="1" customWidth="1"/>
    <col min="775" max="775" width="10.140625" style="48" bestFit="1" customWidth="1"/>
    <col min="776" max="776" width="12.42578125" style="48" bestFit="1" customWidth="1"/>
    <col min="777" max="781" width="9.140625" style="48" customWidth="1"/>
    <col min="782" max="1024" width="9.140625" style="48"/>
    <col min="1025" max="1025" width="8.85546875" style="48" customWidth="1"/>
    <col min="1026" max="1026" width="35.28515625" style="48" customWidth="1"/>
    <col min="1027" max="1027" width="10.5703125" style="48" customWidth="1"/>
    <col min="1028" max="1028" width="15.42578125" style="48" customWidth="1"/>
    <col min="1029" max="1029" width="9.140625" style="48" customWidth="1"/>
    <col min="1030" max="1030" width="9.7109375" style="48" bestFit="1" customWidth="1"/>
    <col min="1031" max="1031" width="10.140625" style="48" bestFit="1" customWidth="1"/>
    <col min="1032" max="1032" width="12.42578125" style="48" bestFit="1" customWidth="1"/>
    <col min="1033" max="1037" width="9.140625" style="48" customWidth="1"/>
    <col min="1038" max="1280" width="9.140625" style="48"/>
    <col min="1281" max="1281" width="8.85546875" style="48" customWidth="1"/>
    <col min="1282" max="1282" width="35.28515625" style="48" customWidth="1"/>
    <col min="1283" max="1283" width="10.5703125" style="48" customWidth="1"/>
    <col min="1284" max="1284" width="15.42578125" style="48" customWidth="1"/>
    <col min="1285" max="1285" width="9.140625" style="48" customWidth="1"/>
    <col min="1286" max="1286" width="9.7109375" style="48" bestFit="1" customWidth="1"/>
    <col min="1287" max="1287" width="10.140625" style="48" bestFit="1" customWidth="1"/>
    <col min="1288" max="1288" width="12.42578125" style="48" bestFit="1" customWidth="1"/>
    <col min="1289" max="1293" width="9.140625" style="48" customWidth="1"/>
    <col min="1294" max="1536" width="9.140625" style="48"/>
    <col min="1537" max="1537" width="8.85546875" style="48" customWidth="1"/>
    <col min="1538" max="1538" width="35.28515625" style="48" customWidth="1"/>
    <col min="1539" max="1539" width="10.5703125" style="48" customWidth="1"/>
    <col min="1540" max="1540" width="15.42578125" style="48" customWidth="1"/>
    <col min="1541" max="1541" width="9.140625" style="48" customWidth="1"/>
    <col min="1542" max="1542" width="9.7109375" style="48" bestFit="1" customWidth="1"/>
    <col min="1543" max="1543" width="10.140625" style="48" bestFit="1" customWidth="1"/>
    <col min="1544" max="1544" width="12.42578125" style="48" bestFit="1" customWidth="1"/>
    <col min="1545" max="1549" width="9.140625" style="48" customWidth="1"/>
    <col min="1550" max="1792" width="9.140625" style="48"/>
    <col min="1793" max="1793" width="8.85546875" style="48" customWidth="1"/>
    <col min="1794" max="1794" width="35.28515625" style="48" customWidth="1"/>
    <col min="1795" max="1795" width="10.5703125" style="48" customWidth="1"/>
    <col min="1796" max="1796" width="15.42578125" style="48" customWidth="1"/>
    <col min="1797" max="1797" width="9.140625" style="48" customWidth="1"/>
    <col min="1798" max="1798" width="9.7109375" style="48" bestFit="1" customWidth="1"/>
    <col min="1799" max="1799" width="10.140625" style="48" bestFit="1" customWidth="1"/>
    <col min="1800" max="1800" width="12.42578125" style="48" bestFit="1" customWidth="1"/>
    <col min="1801" max="1805" width="9.140625" style="48" customWidth="1"/>
    <col min="1806" max="2048" width="9.140625" style="48"/>
    <col min="2049" max="2049" width="8.85546875" style="48" customWidth="1"/>
    <col min="2050" max="2050" width="35.28515625" style="48" customWidth="1"/>
    <col min="2051" max="2051" width="10.5703125" style="48" customWidth="1"/>
    <col min="2052" max="2052" width="15.42578125" style="48" customWidth="1"/>
    <col min="2053" max="2053" width="9.140625" style="48" customWidth="1"/>
    <col min="2054" max="2054" width="9.7109375" style="48" bestFit="1" customWidth="1"/>
    <col min="2055" max="2055" width="10.140625" style="48" bestFit="1" customWidth="1"/>
    <col min="2056" max="2056" width="12.42578125" style="48" bestFit="1" customWidth="1"/>
    <col min="2057" max="2061" width="9.140625" style="48" customWidth="1"/>
    <col min="2062" max="2304" width="9.140625" style="48"/>
    <col min="2305" max="2305" width="8.85546875" style="48" customWidth="1"/>
    <col min="2306" max="2306" width="35.28515625" style="48" customWidth="1"/>
    <col min="2307" max="2307" width="10.5703125" style="48" customWidth="1"/>
    <col min="2308" max="2308" width="15.42578125" style="48" customWidth="1"/>
    <col min="2309" max="2309" width="9.140625" style="48" customWidth="1"/>
    <col min="2310" max="2310" width="9.7109375" style="48" bestFit="1" customWidth="1"/>
    <col min="2311" max="2311" width="10.140625" style="48" bestFit="1" customWidth="1"/>
    <col min="2312" max="2312" width="12.42578125" style="48" bestFit="1" customWidth="1"/>
    <col min="2313" max="2317" width="9.140625" style="48" customWidth="1"/>
    <col min="2318" max="2560" width="9.140625" style="48"/>
    <col min="2561" max="2561" width="8.85546875" style="48" customWidth="1"/>
    <col min="2562" max="2562" width="35.28515625" style="48" customWidth="1"/>
    <col min="2563" max="2563" width="10.5703125" style="48" customWidth="1"/>
    <col min="2564" max="2564" width="15.42578125" style="48" customWidth="1"/>
    <col min="2565" max="2565" width="9.140625" style="48" customWidth="1"/>
    <col min="2566" max="2566" width="9.7109375" style="48" bestFit="1" customWidth="1"/>
    <col min="2567" max="2567" width="10.140625" style="48" bestFit="1" customWidth="1"/>
    <col min="2568" max="2568" width="12.42578125" style="48" bestFit="1" customWidth="1"/>
    <col min="2569" max="2573" width="9.140625" style="48" customWidth="1"/>
    <col min="2574" max="2816" width="9.140625" style="48"/>
    <col min="2817" max="2817" width="8.85546875" style="48" customWidth="1"/>
    <col min="2818" max="2818" width="35.28515625" style="48" customWidth="1"/>
    <col min="2819" max="2819" width="10.5703125" style="48" customWidth="1"/>
    <col min="2820" max="2820" width="15.42578125" style="48" customWidth="1"/>
    <col min="2821" max="2821" width="9.140625" style="48" customWidth="1"/>
    <col min="2822" max="2822" width="9.7109375" style="48" bestFit="1" customWidth="1"/>
    <col min="2823" max="2823" width="10.140625" style="48" bestFit="1" customWidth="1"/>
    <col min="2824" max="2824" width="12.42578125" style="48" bestFit="1" customWidth="1"/>
    <col min="2825" max="2829" width="9.140625" style="48" customWidth="1"/>
    <col min="2830" max="3072" width="9.140625" style="48"/>
    <col min="3073" max="3073" width="8.85546875" style="48" customWidth="1"/>
    <col min="3074" max="3074" width="35.28515625" style="48" customWidth="1"/>
    <col min="3075" max="3075" width="10.5703125" style="48" customWidth="1"/>
    <col min="3076" max="3076" width="15.42578125" style="48" customWidth="1"/>
    <col min="3077" max="3077" width="9.140625" style="48" customWidth="1"/>
    <col min="3078" max="3078" width="9.7109375" style="48" bestFit="1" customWidth="1"/>
    <col min="3079" max="3079" width="10.140625" style="48" bestFit="1" customWidth="1"/>
    <col min="3080" max="3080" width="12.42578125" style="48" bestFit="1" customWidth="1"/>
    <col min="3081" max="3085" width="9.140625" style="48" customWidth="1"/>
    <col min="3086" max="3328" width="9.140625" style="48"/>
    <col min="3329" max="3329" width="8.85546875" style="48" customWidth="1"/>
    <col min="3330" max="3330" width="35.28515625" style="48" customWidth="1"/>
    <col min="3331" max="3331" width="10.5703125" style="48" customWidth="1"/>
    <col min="3332" max="3332" width="15.42578125" style="48" customWidth="1"/>
    <col min="3333" max="3333" width="9.140625" style="48" customWidth="1"/>
    <col min="3334" max="3334" width="9.7109375" style="48" bestFit="1" customWidth="1"/>
    <col min="3335" max="3335" width="10.140625" style="48" bestFit="1" customWidth="1"/>
    <col min="3336" max="3336" width="12.42578125" style="48" bestFit="1" customWidth="1"/>
    <col min="3337" max="3341" width="9.140625" style="48" customWidth="1"/>
    <col min="3342" max="3584" width="9.140625" style="48"/>
    <col min="3585" max="3585" width="8.85546875" style="48" customWidth="1"/>
    <col min="3586" max="3586" width="35.28515625" style="48" customWidth="1"/>
    <col min="3587" max="3587" width="10.5703125" style="48" customWidth="1"/>
    <col min="3588" max="3588" width="15.42578125" style="48" customWidth="1"/>
    <col min="3589" max="3589" width="9.140625" style="48" customWidth="1"/>
    <col min="3590" max="3590" width="9.7109375" style="48" bestFit="1" customWidth="1"/>
    <col min="3591" max="3591" width="10.140625" style="48" bestFit="1" customWidth="1"/>
    <col min="3592" max="3592" width="12.42578125" style="48" bestFit="1" customWidth="1"/>
    <col min="3593" max="3597" width="9.140625" style="48" customWidth="1"/>
    <col min="3598" max="3840" width="9.140625" style="48"/>
    <col min="3841" max="3841" width="8.85546875" style="48" customWidth="1"/>
    <col min="3842" max="3842" width="35.28515625" style="48" customWidth="1"/>
    <col min="3843" max="3843" width="10.5703125" style="48" customWidth="1"/>
    <col min="3844" max="3844" width="15.42578125" style="48" customWidth="1"/>
    <col min="3845" max="3845" width="9.140625" style="48" customWidth="1"/>
    <col min="3846" max="3846" width="9.7109375" style="48" bestFit="1" customWidth="1"/>
    <col min="3847" max="3847" width="10.140625" style="48" bestFit="1" customWidth="1"/>
    <col min="3848" max="3848" width="12.42578125" style="48" bestFit="1" customWidth="1"/>
    <col min="3849" max="3853" width="9.140625" style="48" customWidth="1"/>
    <col min="3854" max="4096" width="9.140625" style="48"/>
    <col min="4097" max="4097" width="8.85546875" style="48" customWidth="1"/>
    <col min="4098" max="4098" width="35.28515625" style="48" customWidth="1"/>
    <col min="4099" max="4099" width="10.5703125" style="48" customWidth="1"/>
    <col min="4100" max="4100" width="15.42578125" style="48" customWidth="1"/>
    <col min="4101" max="4101" width="9.140625" style="48" customWidth="1"/>
    <col min="4102" max="4102" width="9.7109375" style="48" bestFit="1" customWidth="1"/>
    <col min="4103" max="4103" width="10.140625" style="48" bestFit="1" customWidth="1"/>
    <col min="4104" max="4104" width="12.42578125" style="48" bestFit="1" customWidth="1"/>
    <col min="4105" max="4109" width="9.140625" style="48" customWidth="1"/>
    <col min="4110" max="4352" width="9.140625" style="48"/>
    <col min="4353" max="4353" width="8.85546875" style="48" customWidth="1"/>
    <col min="4354" max="4354" width="35.28515625" style="48" customWidth="1"/>
    <col min="4355" max="4355" width="10.5703125" style="48" customWidth="1"/>
    <col min="4356" max="4356" width="15.42578125" style="48" customWidth="1"/>
    <col min="4357" max="4357" width="9.140625" style="48" customWidth="1"/>
    <col min="4358" max="4358" width="9.7109375" style="48" bestFit="1" customWidth="1"/>
    <col min="4359" max="4359" width="10.140625" style="48" bestFit="1" customWidth="1"/>
    <col min="4360" max="4360" width="12.42578125" style="48" bestFit="1" customWidth="1"/>
    <col min="4361" max="4365" width="9.140625" style="48" customWidth="1"/>
    <col min="4366" max="4608" width="9.140625" style="48"/>
    <col min="4609" max="4609" width="8.85546875" style="48" customWidth="1"/>
    <col min="4610" max="4610" width="35.28515625" style="48" customWidth="1"/>
    <col min="4611" max="4611" width="10.5703125" style="48" customWidth="1"/>
    <col min="4612" max="4612" width="15.42578125" style="48" customWidth="1"/>
    <col min="4613" max="4613" width="9.140625" style="48" customWidth="1"/>
    <col min="4614" max="4614" width="9.7109375" style="48" bestFit="1" customWidth="1"/>
    <col min="4615" max="4615" width="10.140625" style="48" bestFit="1" customWidth="1"/>
    <col min="4616" max="4616" width="12.42578125" style="48" bestFit="1" customWidth="1"/>
    <col min="4617" max="4621" width="9.140625" style="48" customWidth="1"/>
    <col min="4622" max="4864" width="9.140625" style="48"/>
    <col min="4865" max="4865" width="8.85546875" style="48" customWidth="1"/>
    <col min="4866" max="4866" width="35.28515625" style="48" customWidth="1"/>
    <col min="4867" max="4867" width="10.5703125" style="48" customWidth="1"/>
    <col min="4868" max="4868" width="15.42578125" style="48" customWidth="1"/>
    <col min="4869" max="4869" width="9.140625" style="48" customWidth="1"/>
    <col min="4870" max="4870" width="9.7109375" style="48" bestFit="1" customWidth="1"/>
    <col min="4871" max="4871" width="10.140625" style="48" bestFit="1" customWidth="1"/>
    <col min="4872" max="4872" width="12.42578125" style="48" bestFit="1" customWidth="1"/>
    <col min="4873" max="4877" width="9.140625" style="48" customWidth="1"/>
    <col min="4878" max="5120" width="9.140625" style="48"/>
    <col min="5121" max="5121" width="8.85546875" style="48" customWidth="1"/>
    <col min="5122" max="5122" width="35.28515625" style="48" customWidth="1"/>
    <col min="5123" max="5123" width="10.5703125" style="48" customWidth="1"/>
    <col min="5124" max="5124" width="15.42578125" style="48" customWidth="1"/>
    <col min="5125" max="5125" width="9.140625" style="48" customWidth="1"/>
    <col min="5126" max="5126" width="9.7109375" style="48" bestFit="1" customWidth="1"/>
    <col min="5127" max="5127" width="10.140625" style="48" bestFit="1" customWidth="1"/>
    <col min="5128" max="5128" width="12.42578125" style="48" bestFit="1" customWidth="1"/>
    <col min="5129" max="5133" width="9.140625" style="48" customWidth="1"/>
    <col min="5134" max="5376" width="9.140625" style="48"/>
    <col min="5377" max="5377" width="8.85546875" style="48" customWidth="1"/>
    <col min="5378" max="5378" width="35.28515625" style="48" customWidth="1"/>
    <col min="5379" max="5379" width="10.5703125" style="48" customWidth="1"/>
    <col min="5380" max="5380" width="15.42578125" style="48" customWidth="1"/>
    <col min="5381" max="5381" width="9.140625" style="48" customWidth="1"/>
    <col min="5382" max="5382" width="9.7109375" style="48" bestFit="1" customWidth="1"/>
    <col min="5383" max="5383" width="10.140625" style="48" bestFit="1" customWidth="1"/>
    <col min="5384" max="5384" width="12.42578125" style="48" bestFit="1" customWidth="1"/>
    <col min="5385" max="5389" width="9.140625" style="48" customWidth="1"/>
    <col min="5390" max="5632" width="9.140625" style="48"/>
    <col min="5633" max="5633" width="8.85546875" style="48" customWidth="1"/>
    <col min="5634" max="5634" width="35.28515625" style="48" customWidth="1"/>
    <col min="5635" max="5635" width="10.5703125" style="48" customWidth="1"/>
    <col min="5636" max="5636" width="15.42578125" style="48" customWidth="1"/>
    <col min="5637" max="5637" width="9.140625" style="48" customWidth="1"/>
    <col min="5638" max="5638" width="9.7109375" style="48" bestFit="1" customWidth="1"/>
    <col min="5639" max="5639" width="10.140625" style="48" bestFit="1" customWidth="1"/>
    <col min="5640" max="5640" width="12.42578125" style="48" bestFit="1" customWidth="1"/>
    <col min="5641" max="5645" width="9.140625" style="48" customWidth="1"/>
    <col min="5646" max="5888" width="9.140625" style="48"/>
    <col min="5889" max="5889" width="8.85546875" style="48" customWidth="1"/>
    <col min="5890" max="5890" width="35.28515625" style="48" customWidth="1"/>
    <col min="5891" max="5891" width="10.5703125" style="48" customWidth="1"/>
    <col min="5892" max="5892" width="15.42578125" style="48" customWidth="1"/>
    <col min="5893" max="5893" width="9.140625" style="48" customWidth="1"/>
    <col min="5894" max="5894" width="9.7109375" style="48" bestFit="1" customWidth="1"/>
    <col min="5895" max="5895" width="10.140625" style="48" bestFit="1" customWidth="1"/>
    <col min="5896" max="5896" width="12.42578125" style="48" bestFit="1" customWidth="1"/>
    <col min="5897" max="5901" width="9.140625" style="48" customWidth="1"/>
    <col min="5902" max="6144" width="9.140625" style="48"/>
    <col min="6145" max="6145" width="8.85546875" style="48" customWidth="1"/>
    <col min="6146" max="6146" width="35.28515625" style="48" customWidth="1"/>
    <col min="6147" max="6147" width="10.5703125" style="48" customWidth="1"/>
    <col min="6148" max="6148" width="15.42578125" style="48" customWidth="1"/>
    <col min="6149" max="6149" width="9.140625" style="48" customWidth="1"/>
    <col min="6150" max="6150" width="9.7109375" style="48" bestFit="1" customWidth="1"/>
    <col min="6151" max="6151" width="10.140625" style="48" bestFit="1" customWidth="1"/>
    <col min="6152" max="6152" width="12.42578125" style="48" bestFit="1" customWidth="1"/>
    <col min="6153" max="6157" width="9.140625" style="48" customWidth="1"/>
    <col min="6158" max="6400" width="9.140625" style="48"/>
    <col min="6401" max="6401" width="8.85546875" style="48" customWidth="1"/>
    <col min="6402" max="6402" width="35.28515625" style="48" customWidth="1"/>
    <col min="6403" max="6403" width="10.5703125" style="48" customWidth="1"/>
    <col min="6404" max="6404" width="15.42578125" style="48" customWidth="1"/>
    <col min="6405" max="6405" width="9.140625" style="48" customWidth="1"/>
    <col min="6406" max="6406" width="9.7109375" style="48" bestFit="1" customWidth="1"/>
    <col min="6407" max="6407" width="10.140625" style="48" bestFit="1" customWidth="1"/>
    <col min="6408" max="6408" width="12.42578125" style="48" bestFit="1" customWidth="1"/>
    <col min="6409" max="6413" width="9.140625" style="48" customWidth="1"/>
    <col min="6414" max="6656" width="9.140625" style="48"/>
    <col min="6657" max="6657" width="8.85546875" style="48" customWidth="1"/>
    <col min="6658" max="6658" width="35.28515625" style="48" customWidth="1"/>
    <col min="6659" max="6659" width="10.5703125" style="48" customWidth="1"/>
    <col min="6660" max="6660" width="15.42578125" style="48" customWidth="1"/>
    <col min="6661" max="6661" width="9.140625" style="48" customWidth="1"/>
    <col min="6662" max="6662" width="9.7109375" style="48" bestFit="1" customWidth="1"/>
    <col min="6663" max="6663" width="10.140625" style="48" bestFit="1" customWidth="1"/>
    <col min="6664" max="6664" width="12.42578125" style="48" bestFit="1" customWidth="1"/>
    <col min="6665" max="6669" width="9.140625" style="48" customWidth="1"/>
    <col min="6670" max="6912" width="9.140625" style="48"/>
    <col min="6913" max="6913" width="8.85546875" style="48" customWidth="1"/>
    <col min="6914" max="6914" width="35.28515625" style="48" customWidth="1"/>
    <col min="6915" max="6915" width="10.5703125" style="48" customWidth="1"/>
    <col min="6916" max="6916" width="15.42578125" style="48" customWidth="1"/>
    <col min="6917" max="6917" width="9.140625" style="48" customWidth="1"/>
    <col min="6918" max="6918" width="9.7109375" style="48" bestFit="1" customWidth="1"/>
    <col min="6919" max="6919" width="10.140625" style="48" bestFit="1" customWidth="1"/>
    <col min="6920" max="6920" width="12.42578125" style="48" bestFit="1" customWidth="1"/>
    <col min="6921" max="6925" width="9.140625" style="48" customWidth="1"/>
    <col min="6926" max="7168" width="9.140625" style="48"/>
    <col min="7169" max="7169" width="8.85546875" style="48" customWidth="1"/>
    <col min="7170" max="7170" width="35.28515625" style="48" customWidth="1"/>
    <col min="7171" max="7171" width="10.5703125" style="48" customWidth="1"/>
    <col min="7172" max="7172" width="15.42578125" style="48" customWidth="1"/>
    <col min="7173" max="7173" width="9.140625" style="48" customWidth="1"/>
    <col min="7174" max="7174" width="9.7109375" style="48" bestFit="1" customWidth="1"/>
    <col min="7175" max="7175" width="10.140625" style="48" bestFit="1" customWidth="1"/>
    <col min="7176" max="7176" width="12.42578125" style="48" bestFit="1" customWidth="1"/>
    <col min="7177" max="7181" width="9.140625" style="48" customWidth="1"/>
    <col min="7182" max="7424" width="9.140625" style="48"/>
    <col min="7425" max="7425" width="8.85546875" style="48" customWidth="1"/>
    <col min="7426" max="7426" width="35.28515625" style="48" customWidth="1"/>
    <col min="7427" max="7427" width="10.5703125" style="48" customWidth="1"/>
    <col min="7428" max="7428" width="15.42578125" style="48" customWidth="1"/>
    <col min="7429" max="7429" width="9.140625" style="48" customWidth="1"/>
    <col min="7430" max="7430" width="9.7109375" style="48" bestFit="1" customWidth="1"/>
    <col min="7431" max="7431" width="10.140625" style="48" bestFit="1" customWidth="1"/>
    <col min="7432" max="7432" width="12.42578125" style="48" bestFit="1" customWidth="1"/>
    <col min="7433" max="7437" width="9.140625" style="48" customWidth="1"/>
    <col min="7438" max="7680" width="9.140625" style="48"/>
    <col min="7681" max="7681" width="8.85546875" style="48" customWidth="1"/>
    <col min="7682" max="7682" width="35.28515625" style="48" customWidth="1"/>
    <col min="7683" max="7683" width="10.5703125" style="48" customWidth="1"/>
    <col min="7684" max="7684" width="15.42578125" style="48" customWidth="1"/>
    <col min="7685" max="7685" width="9.140625" style="48" customWidth="1"/>
    <col min="7686" max="7686" width="9.7109375" style="48" bestFit="1" customWidth="1"/>
    <col min="7687" max="7687" width="10.140625" style="48" bestFit="1" customWidth="1"/>
    <col min="7688" max="7688" width="12.42578125" style="48" bestFit="1" customWidth="1"/>
    <col min="7689" max="7693" width="9.140625" style="48" customWidth="1"/>
    <col min="7694" max="7936" width="9.140625" style="48"/>
    <col min="7937" max="7937" width="8.85546875" style="48" customWidth="1"/>
    <col min="7938" max="7938" width="35.28515625" style="48" customWidth="1"/>
    <col min="7939" max="7939" width="10.5703125" style="48" customWidth="1"/>
    <col min="7940" max="7940" width="15.42578125" style="48" customWidth="1"/>
    <col min="7941" max="7941" width="9.140625" style="48" customWidth="1"/>
    <col min="7942" max="7942" width="9.7109375" style="48" bestFit="1" customWidth="1"/>
    <col min="7943" max="7943" width="10.140625" style="48" bestFit="1" customWidth="1"/>
    <col min="7944" max="7944" width="12.42578125" style="48" bestFit="1" customWidth="1"/>
    <col min="7945" max="7949" width="9.140625" style="48" customWidth="1"/>
    <col min="7950" max="8192" width="9.140625" style="48"/>
    <col min="8193" max="8193" width="8.85546875" style="48" customWidth="1"/>
    <col min="8194" max="8194" width="35.28515625" style="48" customWidth="1"/>
    <col min="8195" max="8195" width="10.5703125" style="48" customWidth="1"/>
    <col min="8196" max="8196" width="15.42578125" style="48" customWidth="1"/>
    <col min="8197" max="8197" width="9.140625" style="48" customWidth="1"/>
    <col min="8198" max="8198" width="9.7109375" style="48" bestFit="1" customWidth="1"/>
    <col min="8199" max="8199" width="10.140625" style="48" bestFit="1" customWidth="1"/>
    <col min="8200" max="8200" width="12.42578125" style="48" bestFit="1" customWidth="1"/>
    <col min="8201" max="8205" width="9.140625" style="48" customWidth="1"/>
    <col min="8206" max="8448" width="9.140625" style="48"/>
    <col min="8449" max="8449" width="8.85546875" style="48" customWidth="1"/>
    <col min="8450" max="8450" width="35.28515625" style="48" customWidth="1"/>
    <col min="8451" max="8451" width="10.5703125" style="48" customWidth="1"/>
    <col min="8452" max="8452" width="15.42578125" style="48" customWidth="1"/>
    <col min="8453" max="8453" width="9.140625" style="48" customWidth="1"/>
    <col min="8454" max="8454" width="9.7109375" style="48" bestFit="1" customWidth="1"/>
    <col min="8455" max="8455" width="10.140625" style="48" bestFit="1" customWidth="1"/>
    <col min="8456" max="8456" width="12.42578125" style="48" bestFit="1" customWidth="1"/>
    <col min="8457" max="8461" width="9.140625" style="48" customWidth="1"/>
    <col min="8462" max="8704" width="9.140625" style="48"/>
    <col min="8705" max="8705" width="8.85546875" style="48" customWidth="1"/>
    <col min="8706" max="8706" width="35.28515625" style="48" customWidth="1"/>
    <col min="8707" max="8707" width="10.5703125" style="48" customWidth="1"/>
    <col min="8708" max="8708" width="15.42578125" style="48" customWidth="1"/>
    <col min="8709" max="8709" width="9.140625" style="48" customWidth="1"/>
    <col min="8710" max="8710" width="9.7109375" style="48" bestFit="1" customWidth="1"/>
    <col min="8711" max="8711" width="10.140625" style="48" bestFit="1" customWidth="1"/>
    <col min="8712" max="8712" width="12.42578125" style="48" bestFit="1" customWidth="1"/>
    <col min="8713" max="8717" width="9.140625" style="48" customWidth="1"/>
    <col min="8718" max="8960" width="9.140625" style="48"/>
    <col min="8961" max="8961" width="8.85546875" style="48" customWidth="1"/>
    <col min="8962" max="8962" width="35.28515625" style="48" customWidth="1"/>
    <col min="8963" max="8963" width="10.5703125" style="48" customWidth="1"/>
    <col min="8964" max="8964" width="15.42578125" style="48" customWidth="1"/>
    <col min="8965" max="8965" width="9.140625" style="48" customWidth="1"/>
    <col min="8966" max="8966" width="9.7109375" style="48" bestFit="1" customWidth="1"/>
    <col min="8967" max="8967" width="10.140625" style="48" bestFit="1" customWidth="1"/>
    <col min="8968" max="8968" width="12.42578125" style="48" bestFit="1" customWidth="1"/>
    <col min="8969" max="8973" width="9.140625" style="48" customWidth="1"/>
    <col min="8974" max="9216" width="9.140625" style="48"/>
    <col min="9217" max="9217" width="8.85546875" style="48" customWidth="1"/>
    <col min="9218" max="9218" width="35.28515625" style="48" customWidth="1"/>
    <col min="9219" max="9219" width="10.5703125" style="48" customWidth="1"/>
    <col min="9220" max="9220" width="15.42578125" style="48" customWidth="1"/>
    <col min="9221" max="9221" width="9.140625" style="48" customWidth="1"/>
    <col min="9222" max="9222" width="9.7109375" style="48" bestFit="1" customWidth="1"/>
    <col min="9223" max="9223" width="10.140625" style="48" bestFit="1" customWidth="1"/>
    <col min="9224" max="9224" width="12.42578125" style="48" bestFit="1" customWidth="1"/>
    <col min="9225" max="9229" width="9.140625" style="48" customWidth="1"/>
    <col min="9230" max="9472" width="9.140625" style="48"/>
    <col min="9473" max="9473" width="8.85546875" style="48" customWidth="1"/>
    <col min="9474" max="9474" width="35.28515625" style="48" customWidth="1"/>
    <col min="9475" max="9475" width="10.5703125" style="48" customWidth="1"/>
    <col min="9476" max="9476" width="15.42578125" style="48" customWidth="1"/>
    <col min="9477" max="9477" width="9.140625" style="48" customWidth="1"/>
    <col min="9478" max="9478" width="9.7109375" style="48" bestFit="1" customWidth="1"/>
    <col min="9479" max="9479" width="10.140625" style="48" bestFit="1" customWidth="1"/>
    <col min="9480" max="9480" width="12.42578125" style="48" bestFit="1" customWidth="1"/>
    <col min="9481" max="9485" width="9.140625" style="48" customWidth="1"/>
    <col min="9486" max="9728" width="9.140625" style="48"/>
    <col min="9729" max="9729" width="8.85546875" style="48" customWidth="1"/>
    <col min="9730" max="9730" width="35.28515625" style="48" customWidth="1"/>
    <col min="9731" max="9731" width="10.5703125" style="48" customWidth="1"/>
    <col min="9732" max="9732" width="15.42578125" style="48" customWidth="1"/>
    <col min="9733" max="9733" width="9.140625" style="48" customWidth="1"/>
    <col min="9734" max="9734" width="9.7109375" style="48" bestFit="1" customWidth="1"/>
    <col min="9735" max="9735" width="10.140625" style="48" bestFit="1" customWidth="1"/>
    <col min="9736" max="9736" width="12.42578125" style="48" bestFit="1" customWidth="1"/>
    <col min="9737" max="9741" width="9.140625" style="48" customWidth="1"/>
    <col min="9742" max="9984" width="9.140625" style="48"/>
    <col min="9985" max="9985" width="8.85546875" style="48" customWidth="1"/>
    <col min="9986" max="9986" width="35.28515625" style="48" customWidth="1"/>
    <col min="9987" max="9987" width="10.5703125" style="48" customWidth="1"/>
    <col min="9988" max="9988" width="15.42578125" style="48" customWidth="1"/>
    <col min="9989" max="9989" width="9.140625" style="48" customWidth="1"/>
    <col min="9990" max="9990" width="9.7109375" style="48" bestFit="1" customWidth="1"/>
    <col min="9991" max="9991" width="10.140625" style="48" bestFit="1" customWidth="1"/>
    <col min="9992" max="9992" width="12.42578125" style="48" bestFit="1" customWidth="1"/>
    <col min="9993" max="9997" width="9.140625" style="48" customWidth="1"/>
    <col min="9998" max="10240" width="9.140625" style="48"/>
    <col min="10241" max="10241" width="8.85546875" style="48" customWidth="1"/>
    <col min="10242" max="10242" width="35.28515625" style="48" customWidth="1"/>
    <col min="10243" max="10243" width="10.5703125" style="48" customWidth="1"/>
    <col min="10244" max="10244" width="15.42578125" style="48" customWidth="1"/>
    <col min="10245" max="10245" width="9.140625" style="48" customWidth="1"/>
    <col min="10246" max="10246" width="9.7109375" style="48" bestFit="1" customWidth="1"/>
    <col min="10247" max="10247" width="10.140625" style="48" bestFit="1" customWidth="1"/>
    <col min="10248" max="10248" width="12.42578125" style="48" bestFit="1" customWidth="1"/>
    <col min="10249" max="10253" width="9.140625" style="48" customWidth="1"/>
    <col min="10254" max="10496" width="9.140625" style="48"/>
    <col min="10497" max="10497" width="8.85546875" style="48" customWidth="1"/>
    <col min="10498" max="10498" width="35.28515625" style="48" customWidth="1"/>
    <col min="10499" max="10499" width="10.5703125" style="48" customWidth="1"/>
    <col min="10500" max="10500" width="15.42578125" style="48" customWidth="1"/>
    <col min="10501" max="10501" width="9.140625" style="48" customWidth="1"/>
    <col min="10502" max="10502" width="9.7109375" style="48" bestFit="1" customWidth="1"/>
    <col min="10503" max="10503" width="10.140625" style="48" bestFit="1" customWidth="1"/>
    <col min="10504" max="10504" width="12.42578125" style="48" bestFit="1" customWidth="1"/>
    <col min="10505" max="10509" width="9.140625" style="48" customWidth="1"/>
    <col min="10510" max="10752" width="9.140625" style="48"/>
    <col min="10753" max="10753" width="8.85546875" style="48" customWidth="1"/>
    <col min="10754" max="10754" width="35.28515625" style="48" customWidth="1"/>
    <col min="10755" max="10755" width="10.5703125" style="48" customWidth="1"/>
    <col min="10756" max="10756" width="15.42578125" style="48" customWidth="1"/>
    <col min="10757" max="10757" width="9.140625" style="48" customWidth="1"/>
    <col min="10758" max="10758" width="9.7109375" style="48" bestFit="1" customWidth="1"/>
    <col min="10759" max="10759" width="10.140625" style="48" bestFit="1" customWidth="1"/>
    <col min="10760" max="10760" width="12.42578125" style="48" bestFit="1" customWidth="1"/>
    <col min="10761" max="10765" width="9.140625" style="48" customWidth="1"/>
    <col min="10766" max="11008" width="9.140625" style="48"/>
    <col min="11009" max="11009" width="8.85546875" style="48" customWidth="1"/>
    <col min="11010" max="11010" width="35.28515625" style="48" customWidth="1"/>
    <col min="11011" max="11011" width="10.5703125" style="48" customWidth="1"/>
    <col min="11012" max="11012" width="15.42578125" style="48" customWidth="1"/>
    <col min="11013" max="11013" width="9.140625" style="48" customWidth="1"/>
    <col min="11014" max="11014" width="9.7109375" style="48" bestFit="1" customWidth="1"/>
    <col min="11015" max="11015" width="10.140625" style="48" bestFit="1" customWidth="1"/>
    <col min="11016" max="11016" width="12.42578125" style="48" bestFit="1" customWidth="1"/>
    <col min="11017" max="11021" width="9.140625" style="48" customWidth="1"/>
    <col min="11022" max="11264" width="9.140625" style="48"/>
    <col min="11265" max="11265" width="8.85546875" style="48" customWidth="1"/>
    <col min="11266" max="11266" width="35.28515625" style="48" customWidth="1"/>
    <col min="11267" max="11267" width="10.5703125" style="48" customWidth="1"/>
    <col min="11268" max="11268" width="15.42578125" style="48" customWidth="1"/>
    <col min="11269" max="11269" width="9.140625" style="48" customWidth="1"/>
    <col min="11270" max="11270" width="9.7109375" style="48" bestFit="1" customWidth="1"/>
    <col min="11271" max="11271" width="10.140625" style="48" bestFit="1" customWidth="1"/>
    <col min="11272" max="11272" width="12.42578125" style="48" bestFit="1" customWidth="1"/>
    <col min="11273" max="11277" width="9.140625" style="48" customWidth="1"/>
    <col min="11278" max="11520" width="9.140625" style="48"/>
    <col min="11521" max="11521" width="8.85546875" style="48" customWidth="1"/>
    <col min="11522" max="11522" width="35.28515625" style="48" customWidth="1"/>
    <col min="11523" max="11523" width="10.5703125" style="48" customWidth="1"/>
    <col min="11524" max="11524" width="15.42578125" style="48" customWidth="1"/>
    <col min="11525" max="11525" width="9.140625" style="48" customWidth="1"/>
    <col min="11526" max="11526" width="9.7109375" style="48" bestFit="1" customWidth="1"/>
    <col min="11527" max="11527" width="10.140625" style="48" bestFit="1" customWidth="1"/>
    <col min="11528" max="11528" width="12.42578125" style="48" bestFit="1" customWidth="1"/>
    <col min="11529" max="11533" width="9.140625" style="48" customWidth="1"/>
    <col min="11534" max="11776" width="9.140625" style="48"/>
    <col min="11777" max="11777" width="8.85546875" style="48" customWidth="1"/>
    <col min="11778" max="11778" width="35.28515625" style="48" customWidth="1"/>
    <col min="11779" max="11779" width="10.5703125" style="48" customWidth="1"/>
    <col min="11780" max="11780" width="15.42578125" style="48" customWidth="1"/>
    <col min="11781" max="11781" width="9.140625" style="48" customWidth="1"/>
    <col min="11782" max="11782" width="9.7109375" style="48" bestFit="1" customWidth="1"/>
    <col min="11783" max="11783" width="10.140625" style="48" bestFit="1" customWidth="1"/>
    <col min="11784" max="11784" width="12.42578125" style="48" bestFit="1" customWidth="1"/>
    <col min="11785" max="11789" width="9.140625" style="48" customWidth="1"/>
    <col min="11790" max="12032" width="9.140625" style="48"/>
    <col min="12033" max="12033" width="8.85546875" style="48" customWidth="1"/>
    <col min="12034" max="12034" width="35.28515625" style="48" customWidth="1"/>
    <col min="12035" max="12035" width="10.5703125" style="48" customWidth="1"/>
    <col min="12036" max="12036" width="15.42578125" style="48" customWidth="1"/>
    <col min="12037" max="12037" width="9.140625" style="48" customWidth="1"/>
    <col min="12038" max="12038" width="9.7109375" style="48" bestFit="1" customWidth="1"/>
    <col min="12039" max="12039" width="10.140625" style="48" bestFit="1" customWidth="1"/>
    <col min="12040" max="12040" width="12.42578125" style="48" bestFit="1" customWidth="1"/>
    <col min="12041" max="12045" width="9.140625" style="48" customWidth="1"/>
    <col min="12046" max="12288" width="9.140625" style="48"/>
    <col min="12289" max="12289" width="8.85546875" style="48" customWidth="1"/>
    <col min="12290" max="12290" width="35.28515625" style="48" customWidth="1"/>
    <col min="12291" max="12291" width="10.5703125" style="48" customWidth="1"/>
    <col min="12292" max="12292" width="15.42578125" style="48" customWidth="1"/>
    <col min="12293" max="12293" width="9.140625" style="48" customWidth="1"/>
    <col min="12294" max="12294" width="9.7109375" style="48" bestFit="1" customWidth="1"/>
    <col min="12295" max="12295" width="10.140625" style="48" bestFit="1" customWidth="1"/>
    <col min="12296" max="12296" width="12.42578125" style="48" bestFit="1" customWidth="1"/>
    <col min="12297" max="12301" width="9.140625" style="48" customWidth="1"/>
    <col min="12302" max="12544" width="9.140625" style="48"/>
    <col min="12545" max="12545" width="8.85546875" style="48" customWidth="1"/>
    <col min="12546" max="12546" width="35.28515625" style="48" customWidth="1"/>
    <col min="12547" max="12547" width="10.5703125" style="48" customWidth="1"/>
    <col min="12548" max="12548" width="15.42578125" style="48" customWidth="1"/>
    <col min="12549" max="12549" width="9.140625" style="48" customWidth="1"/>
    <col min="12550" max="12550" width="9.7109375" style="48" bestFit="1" customWidth="1"/>
    <col min="12551" max="12551" width="10.140625" style="48" bestFit="1" customWidth="1"/>
    <col min="12552" max="12552" width="12.42578125" style="48" bestFit="1" customWidth="1"/>
    <col min="12553" max="12557" width="9.140625" style="48" customWidth="1"/>
    <col min="12558" max="12800" width="9.140625" style="48"/>
    <col min="12801" max="12801" width="8.85546875" style="48" customWidth="1"/>
    <col min="12802" max="12802" width="35.28515625" style="48" customWidth="1"/>
    <col min="12803" max="12803" width="10.5703125" style="48" customWidth="1"/>
    <col min="12804" max="12804" width="15.42578125" style="48" customWidth="1"/>
    <col min="12805" max="12805" width="9.140625" style="48" customWidth="1"/>
    <col min="12806" max="12806" width="9.7109375" style="48" bestFit="1" customWidth="1"/>
    <col min="12807" max="12807" width="10.140625" style="48" bestFit="1" customWidth="1"/>
    <col min="12808" max="12808" width="12.42578125" style="48" bestFit="1" customWidth="1"/>
    <col min="12809" max="12813" width="9.140625" style="48" customWidth="1"/>
    <col min="12814" max="13056" width="9.140625" style="48"/>
    <col min="13057" max="13057" width="8.85546875" style="48" customWidth="1"/>
    <col min="13058" max="13058" width="35.28515625" style="48" customWidth="1"/>
    <col min="13059" max="13059" width="10.5703125" style="48" customWidth="1"/>
    <col min="13060" max="13060" width="15.42578125" style="48" customWidth="1"/>
    <col min="13061" max="13061" width="9.140625" style="48" customWidth="1"/>
    <col min="13062" max="13062" width="9.7109375" style="48" bestFit="1" customWidth="1"/>
    <col min="13063" max="13063" width="10.140625" style="48" bestFit="1" customWidth="1"/>
    <col min="13064" max="13064" width="12.42578125" style="48" bestFit="1" customWidth="1"/>
    <col min="13065" max="13069" width="9.140625" style="48" customWidth="1"/>
    <col min="13070" max="13312" width="9.140625" style="48"/>
    <col min="13313" max="13313" width="8.85546875" style="48" customWidth="1"/>
    <col min="13314" max="13314" width="35.28515625" style="48" customWidth="1"/>
    <col min="13315" max="13315" width="10.5703125" style="48" customWidth="1"/>
    <col min="13316" max="13316" width="15.42578125" style="48" customWidth="1"/>
    <col min="13317" max="13317" width="9.140625" style="48" customWidth="1"/>
    <col min="13318" max="13318" width="9.7109375" style="48" bestFit="1" customWidth="1"/>
    <col min="13319" max="13319" width="10.140625" style="48" bestFit="1" customWidth="1"/>
    <col min="13320" max="13320" width="12.42578125" style="48" bestFit="1" customWidth="1"/>
    <col min="13321" max="13325" width="9.140625" style="48" customWidth="1"/>
    <col min="13326" max="13568" width="9.140625" style="48"/>
    <col min="13569" max="13569" width="8.85546875" style="48" customWidth="1"/>
    <col min="13570" max="13570" width="35.28515625" style="48" customWidth="1"/>
    <col min="13571" max="13571" width="10.5703125" style="48" customWidth="1"/>
    <col min="13572" max="13572" width="15.42578125" style="48" customWidth="1"/>
    <col min="13573" max="13573" width="9.140625" style="48" customWidth="1"/>
    <col min="13574" max="13574" width="9.7109375" style="48" bestFit="1" customWidth="1"/>
    <col min="13575" max="13575" width="10.140625" style="48" bestFit="1" customWidth="1"/>
    <col min="13576" max="13576" width="12.42578125" style="48" bestFit="1" customWidth="1"/>
    <col min="13577" max="13581" width="9.140625" style="48" customWidth="1"/>
    <col min="13582" max="13824" width="9.140625" style="48"/>
    <col min="13825" max="13825" width="8.85546875" style="48" customWidth="1"/>
    <col min="13826" max="13826" width="35.28515625" style="48" customWidth="1"/>
    <col min="13827" max="13827" width="10.5703125" style="48" customWidth="1"/>
    <col min="13828" max="13828" width="15.42578125" style="48" customWidth="1"/>
    <col min="13829" max="13829" width="9.140625" style="48" customWidth="1"/>
    <col min="13830" max="13830" width="9.7109375" style="48" bestFit="1" customWidth="1"/>
    <col min="13831" max="13831" width="10.140625" style="48" bestFit="1" customWidth="1"/>
    <col min="13832" max="13832" width="12.42578125" style="48" bestFit="1" customWidth="1"/>
    <col min="13833" max="13837" width="9.140625" style="48" customWidth="1"/>
    <col min="13838" max="14080" width="9.140625" style="48"/>
    <col min="14081" max="14081" width="8.85546875" style="48" customWidth="1"/>
    <col min="14082" max="14082" width="35.28515625" style="48" customWidth="1"/>
    <col min="14083" max="14083" width="10.5703125" style="48" customWidth="1"/>
    <col min="14084" max="14084" width="15.42578125" style="48" customWidth="1"/>
    <col min="14085" max="14085" width="9.140625" style="48" customWidth="1"/>
    <col min="14086" max="14086" width="9.7109375" style="48" bestFit="1" customWidth="1"/>
    <col min="14087" max="14087" width="10.140625" style="48" bestFit="1" customWidth="1"/>
    <col min="14088" max="14088" width="12.42578125" style="48" bestFit="1" customWidth="1"/>
    <col min="14089" max="14093" width="9.140625" style="48" customWidth="1"/>
    <col min="14094" max="14336" width="9.140625" style="48"/>
    <col min="14337" max="14337" width="8.85546875" style="48" customWidth="1"/>
    <col min="14338" max="14338" width="35.28515625" style="48" customWidth="1"/>
    <col min="14339" max="14339" width="10.5703125" style="48" customWidth="1"/>
    <col min="14340" max="14340" width="15.42578125" style="48" customWidth="1"/>
    <col min="14341" max="14341" width="9.140625" style="48" customWidth="1"/>
    <col min="14342" max="14342" width="9.7109375" style="48" bestFit="1" customWidth="1"/>
    <col min="14343" max="14343" width="10.140625" style="48" bestFit="1" customWidth="1"/>
    <col min="14344" max="14344" width="12.42578125" style="48" bestFit="1" customWidth="1"/>
    <col min="14345" max="14349" width="9.140625" style="48" customWidth="1"/>
    <col min="14350" max="14592" width="9.140625" style="48"/>
    <col min="14593" max="14593" width="8.85546875" style="48" customWidth="1"/>
    <col min="14594" max="14594" width="35.28515625" style="48" customWidth="1"/>
    <col min="14595" max="14595" width="10.5703125" style="48" customWidth="1"/>
    <col min="14596" max="14596" width="15.42578125" style="48" customWidth="1"/>
    <col min="14597" max="14597" width="9.140625" style="48" customWidth="1"/>
    <col min="14598" max="14598" width="9.7109375" style="48" bestFit="1" customWidth="1"/>
    <col min="14599" max="14599" width="10.140625" style="48" bestFit="1" customWidth="1"/>
    <col min="14600" max="14600" width="12.42578125" style="48" bestFit="1" customWidth="1"/>
    <col min="14601" max="14605" width="9.140625" style="48" customWidth="1"/>
    <col min="14606" max="14848" width="9.140625" style="48"/>
    <col min="14849" max="14849" width="8.85546875" style="48" customWidth="1"/>
    <col min="14850" max="14850" width="35.28515625" style="48" customWidth="1"/>
    <col min="14851" max="14851" width="10.5703125" style="48" customWidth="1"/>
    <col min="14852" max="14852" width="15.42578125" style="48" customWidth="1"/>
    <col min="14853" max="14853" width="9.140625" style="48" customWidth="1"/>
    <col min="14854" max="14854" width="9.7109375" style="48" bestFit="1" customWidth="1"/>
    <col min="14855" max="14855" width="10.140625" style="48" bestFit="1" customWidth="1"/>
    <col min="14856" max="14856" width="12.42578125" style="48" bestFit="1" customWidth="1"/>
    <col min="14857" max="14861" width="9.140625" style="48" customWidth="1"/>
    <col min="14862" max="15104" width="9.140625" style="48"/>
    <col min="15105" max="15105" width="8.85546875" style="48" customWidth="1"/>
    <col min="15106" max="15106" width="35.28515625" style="48" customWidth="1"/>
    <col min="15107" max="15107" width="10.5703125" style="48" customWidth="1"/>
    <col min="15108" max="15108" width="15.42578125" style="48" customWidth="1"/>
    <col min="15109" max="15109" width="9.140625" style="48" customWidth="1"/>
    <col min="15110" max="15110" width="9.7109375" style="48" bestFit="1" customWidth="1"/>
    <col min="15111" max="15111" width="10.140625" style="48" bestFit="1" customWidth="1"/>
    <col min="15112" max="15112" width="12.42578125" style="48" bestFit="1" customWidth="1"/>
    <col min="15113" max="15117" width="9.140625" style="48" customWidth="1"/>
    <col min="15118" max="15360" width="9.140625" style="48"/>
    <col min="15361" max="15361" width="8.85546875" style="48" customWidth="1"/>
    <col min="15362" max="15362" width="35.28515625" style="48" customWidth="1"/>
    <col min="15363" max="15363" width="10.5703125" style="48" customWidth="1"/>
    <col min="15364" max="15364" width="15.42578125" style="48" customWidth="1"/>
    <col min="15365" max="15365" width="9.140625" style="48" customWidth="1"/>
    <col min="15366" max="15366" width="9.7109375" style="48" bestFit="1" customWidth="1"/>
    <col min="15367" max="15367" width="10.140625" style="48" bestFit="1" customWidth="1"/>
    <col min="15368" max="15368" width="12.42578125" style="48" bestFit="1" customWidth="1"/>
    <col min="15369" max="15373" width="9.140625" style="48" customWidth="1"/>
    <col min="15374" max="15616" width="9.140625" style="48"/>
    <col min="15617" max="15617" width="8.85546875" style="48" customWidth="1"/>
    <col min="15618" max="15618" width="35.28515625" style="48" customWidth="1"/>
    <col min="15619" max="15619" width="10.5703125" style="48" customWidth="1"/>
    <col min="15620" max="15620" width="15.42578125" style="48" customWidth="1"/>
    <col min="15621" max="15621" width="9.140625" style="48" customWidth="1"/>
    <col min="15622" max="15622" width="9.7109375" style="48" bestFit="1" customWidth="1"/>
    <col min="15623" max="15623" width="10.140625" style="48" bestFit="1" customWidth="1"/>
    <col min="15624" max="15624" width="12.42578125" style="48" bestFit="1" customWidth="1"/>
    <col min="15625" max="15629" width="9.140625" style="48" customWidth="1"/>
    <col min="15630" max="15872" width="9.140625" style="48"/>
    <col min="15873" max="15873" width="8.85546875" style="48" customWidth="1"/>
    <col min="15874" max="15874" width="35.28515625" style="48" customWidth="1"/>
    <col min="15875" max="15875" width="10.5703125" style="48" customWidth="1"/>
    <col min="15876" max="15876" width="15.42578125" style="48" customWidth="1"/>
    <col min="15877" max="15877" width="9.140625" style="48" customWidth="1"/>
    <col min="15878" max="15878" width="9.7109375" style="48" bestFit="1" customWidth="1"/>
    <col min="15879" max="15879" width="10.140625" style="48" bestFit="1" customWidth="1"/>
    <col min="15880" max="15880" width="12.42578125" style="48" bestFit="1" customWidth="1"/>
    <col min="15881" max="15885" width="9.140625" style="48" customWidth="1"/>
    <col min="15886" max="16128" width="9.140625" style="48"/>
    <col min="16129" max="16129" width="8.85546875" style="48" customWidth="1"/>
    <col min="16130" max="16130" width="35.28515625" style="48" customWidth="1"/>
    <col min="16131" max="16131" width="10.5703125" style="48" customWidth="1"/>
    <col min="16132" max="16132" width="15.42578125" style="48" customWidth="1"/>
    <col min="16133" max="16133" width="9.140625" style="48" customWidth="1"/>
    <col min="16134" max="16134" width="9.7109375" style="48" bestFit="1" customWidth="1"/>
    <col min="16135" max="16135" width="10.140625" style="48" bestFit="1" customWidth="1"/>
    <col min="16136" max="16136" width="12.42578125" style="48" bestFit="1" customWidth="1"/>
    <col min="16137" max="16141" width="9.140625" style="48" customWidth="1"/>
    <col min="16142" max="16384" width="9.140625" style="48"/>
  </cols>
  <sheetData>
    <row r="1" spans="1:13" ht="16.5" thickBot="1" x14ac:dyDescent="0.3"/>
    <row r="2" spans="1:13" s="52" customFormat="1" x14ac:dyDescent="0.25">
      <c r="A2" s="49"/>
      <c r="B2" s="111" t="s">
        <v>178</v>
      </c>
      <c r="C2" s="112"/>
      <c r="D2" s="113"/>
      <c r="E2" s="50"/>
      <c r="F2" s="50"/>
      <c r="G2" s="51"/>
      <c r="H2" s="51"/>
      <c r="I2" s="51"/>
      <c r="J2" s="51"/>
      <c r="K2" s="51"/>
      <c r="L2" s="51"/>
      <c r="M2" s="51"/>
    </row>
    <row r="3" spans="1:13" s="52" customFormat="1" ht="31.5" customHeight="1" x14ac:dyDescent="0.25">
      <c r="A3" s="49"/>
      <c r="B3" s="114" t="s">
        <v>179</v>
      </c>
      <c r="C3" s="115"/>
      <c r="D3" s="116"/>
      <c r="E3" s="50"/>
      <c r="F3" s="50"/>
      <c r="G3" s="51"/>
      <c r="H3" s="51"/>
      <c r="I3" s="51"/>
      <c r="J3" s="51"/>
      <c r="K3" s="51"/>
      <c r="L3" s="51"/>
      <c r="M3" s="51"/>
    </row>
    <row r="4" spans="1:13" s="52" customFormat="1" x14ac:dyDescent="0.25">
      <c r="A4" s="49"/>
      <c r="B4" s="117" t="s">
        <v>180</v>
      </c>
      <c r="C4" s="118"/>
      <c r="D4" s="119"/>
      <c r="E4" s="50"/>
      <c r="F4" s="50"/>
      <c r="G4" s="51"/>
      <c r="H4" s="51"/>
      <c r="I4" s="51"/>
      <c r="J4" s="51"/>
      <c r="K4" s="51"/>
      <c r="L4" s="51"/>
      <c r="M4" s="51"/>
    </row>
    <row r="5" spans="1:13" s="52" customFormat="1" ht="16.5" thickBot="1" x14ac:dyDescent="0.3">
      <c r="A5" s="49"/>
      <c r="B5" s="120" t="s">
        <v>181</v>
      </c>
      <c r="C5" s="121"/>
      <c r="D5" s="122"/>
      <c r="E5" s="50"/>
      <c r="F5" s="50"/>
      <c r="G5" s="51"/>
      <c r="H5" s="51"/>
      <c r="I5" s="51"/>
      <c r="J5" s="51"/>
      <c r="K5" s="51"/>
      <c r="L5" s="51"/>
      <c r="M5" s="51"/>
    </row>
    <row r="6" spans="1:13" s="52" customFormat="1" x14ac:dyDescent="0.25">
      <c r="A6" s="49"/>
      <c r="B6" s="53" t="s">
        <v>182</v>
      </c>
      <c r="C6" s="54"/>
      <c r="D6" s="54"/>
      <c r="E6" s="50"/>
      <c r="F6" s="50"/>
      <c r="G6" s="51"/>
      <c r="H6" s="51"/>
      <c r="I6" s="51"/>
      <c r="J6" s="51"/>
      <c r="K6" s="51"/>
      <c r="L6" s="51"/>
      <c r="M6" s="51"/>
    </row>
    <row r="7" spans="1:13" s="52" customFormat="1" x14ac:dyDescent="0.25">
      <c r="A7" s="49"/>
      <c r="B7" s="54"/>
      <c r="C7" s="54"/>
      <c r="D7" s="54"/>
      <c r="E7" s="50"/>
      <c r="F7" s="50"/>
      <c r="G7" s="51"/>
      <c r="H7" s="51"/>
      <c r="I7" s="51"/>
      <c r="J7" s="51"/>
      <c r="K7" s="51"/>
      <c r="L7" s="51"/>
      <c r="M7" s="51"/>
    </row>
    <row r="8" spans="1:13" s="52" customFormat="1" x14ac:dyDescent="0.25">
      <c r="A8" s="49"/>
      <c r="B8" s="54"/>
      <c r="C8" s="54"/>
      <c r="D8" s="54"/>
      <c r="E8" s="50"/>
      <c r="F8" s="50"/>
      <c r="G8" s="51"/>
      <c r="H8" s="51"/>
      <c r="I8" s="51"/>
      <c r="J8" s="51"/>
      <c r="K8" s="51"/>
      <c r="L8" s="51"/>
      <c r="M8" s="51"/>
    </row>
    <row r="9" spans="1:13" s="52" customFormat="1" x14ac:dyDescent="0.25">
      <c r="A9" s="49"/>
      <c r="B9" s="54"/>
      <c r="C9" s="54"/>
      <c r="D9" s="54"/>
      <c r="E9" s="50"/>
      <c r="F9" s="50"/>
      <c r="G9" s="51"/>
      <c r="H9" s="51"/>
      <c r="I9" s="51"/>
      <c r="J9" s="51"/>
      <c r="K9" s="51"/>
      <c r="L9" s="51"/>
      <c r="M9" s="51"/>
    </row>
    <row r="10" spans="1:13" s="52" customFormat="1" x14ac:dyDescent="0.25">
      <c r="A10" s="49"/>
      <c r="B10" s="54"/>
      <c r="C10" s="54"/>
      <c r="D10" s="54"/>
      <c r="E10" s="50"/>
      <c r="F10" s="50"/>
      <c r="G10" s="51"/>
      <c r="H10" s="51"/>
      <c r="I10" s="51"/>
      <c r="J10" s="51"/>
      <c r="K10" s="51"/>
      <c r="L10" s="51"/>
      <c r="M10" s="51"/>
    </row>
    <row r="11" spans="1:13" s="52" customFormat="1" x14ac:dyDescent="0.25">
      <c r="A11" s="49"/>
      <c r="B11" s="54"/>
      <c r="C11" s="54"/>
      <c r="D11" s="54"/>
      <c r="E11" s="50"/>
      <c r="F11" s="50"/>
      <c r="G11" s="51"/>
      <c r="H11" s="51"/>
      <c r="I11" s="51"/>
      <c r="J11" s="51"/>
      <c r="K11" s="51"/>
      <c r="L11" s="51"/>
      <c r="M11" s="51"/>
    </row>
    <row r="12" spans="1:13" s="52" customFormat="1" x14ac:dyDescent="0.25">
      <c r="A12" s="49"/>
      <c r="B12" s="54"/>
      <c r="C12" s="54"/>
      <c r="D12" s="54"/>
      <c r="E12" s="50"/>
      <c r="F12" s="50"/>
      <c r="G12" s="51"/>
      <c r="H12" s="51"/>
      <c r="I12" s="51"/>
      <c r="J12" s="51"/>
      <c r="K12" s="51"/>
      <c r="L12" s="51"/>
      <c r="M12" s="51"/>
    </row>
    <row r="13" spans="1:13" s="52" customFormat="1" x14ac:dyDescent="0.25">
      <c r="A13" s="49"/>
      <c r="B13" s="54"/>
      <c r="C13" s="54"/>
      <c r="D13" s="54"/>
      <c r="E13" s="50"/>
      <c r="F13" s="50"/>
      <c r="G13" s="51"/>
      <c r="H13" s="51"/>
      <c r="I13" s="51"/>
      <c r="J13" s="51"/>
      <c r="K13" s="51"/>
      <c r="L13" s="51"/>
      <c r="M13" s="51"/>
    </row>
    <row r="14" spans="1:13" s="52" customFormat="1" x14ac:dyDescent="0.25">
      <c r="A14" s="49"/>
      <c r="B14" s="54"/>
      <c r="C14" s="54"/>
      <c r="D14" s="54"/>
      <c r="E14" s="50"/>
      <c r="F14" s="50"/>
      <c r="G14" s="51"/>
      <c r="H14" s="51"/>
      <c r="I14" s="51"/>
      <c r="J14" s="51"/>
      <c r="K14" s="51"/>
      <c r="L14" s="51"/>
      <c r="M14" s="51"/>
    </row>
    <row r="15" spans="1:13" s="52" customFormat="1" ht="16.5" thickBot="1" x14ac:dyDescent="0.3">
      <c r="A15" s="49"/>
      <c r="B15" s="54"/>
      <c r="C15" s="54"/>
      <c r="D15" s="54"/>
      <c r="E15" s="50"/>
      <c r="F15" s="50"/>
      <c r="G15" s="51"/>
      <c r="H15" s="51"/>
      <c r="I15" s="51"/>
      <c r="J15" s="51"/>
      <c r="K15" s="51"/>
      <c r="L15" s="51"/>
      <c r="M15" s="51"/>
    </row>
    <row r="16" spans="1:13" s="52" customFormat="1" ht="16.5" thickTop="1" x14ac:dyDescent="0.25">
      <c r="A16" s="49"/>
      <c r="B16" s="55" t="s">
        <v>183</v>
      </c>
      <c r="C16" s="56" t="s">
        <v>184</v>
      </c>
      <c r="D16" s="57" t="s">
        <v>185</v>
      </c>
      <c r="E16" s="50"/>
      <c r="F16" s="50"/>
      <c r="G16" s="51"/>
      <c r="H16" s="51"/>
      <c r="I16" s="51"/>
      <c r="J16" s="51"/>
      <c r="K16" s="51"/>
      <c r="L16" s="51"/>
      <c r="M16" s="51"/>
    </row>
    <row r="17" spans="2:8" x14ac:dyDescent="0.25">
      <c r="B17" s="58" t="s">
        <v>186</v>
      </c>
      <c r="C17" s="80">
        <f>'Motor Torque Analysis'!B10</f>
        <v>300</v>
      </c>
      <c r="D17" s="59">
        <v>0.5</v>
      </c>
    </row>
    <row r="18" spans="2:8" x14ac:dyDescent="0.25">
      <c r="B18" s="58" t="s">
        <v>187</v>
      </c>
      <c r="C18" s="60">
        <f>'Structure Analysis'!F5/10^6</f>
        <v>13000</v>
      </c>
      <c r="D18" s="57">
        <v>200000</v>
      </c>
    </row>
    <row r="19" spans="2:8" x14ac:dyDescent="0.25">
      <c r="B19" s="58" t="s">
        <v>188</v>
      </c>
      <c r="C19" s="61">
        <f>'Structure Analysis'!C4*1000</f>
        <v>1000</v>
      </c>
      <c r="D19" s="62">
        <v>0.5</v>
      </c>
    </row>
    <row r="20" spans="2:8" x14ac:dyDescent="0.25">
      <c r="B20" s="58" t="s">
        <v>189</v>
      </c>
      <c r="C20" s="61">
        <v>25.4</v>
      </c>
      <c r="D20" s="62">
        <v>0.1</v>
      </c>
    </row>
    <row r="21" spans="2:8" x14ac:dyDescent="0.25">
      <c r="B21" s="58" t="s">
        <v>190</v>
      </c>
      <c r="C21" s="61">
        <f>'Bearing Length'!C7</f>
        <v>215.65370525771272</v>
      </c>
      <c r="D21" s="62">
        <v>0.2</v>
      </c>
    </row>
    <row r="22" spans="2:8" x14ac:dyDescent="0.25">
      <c r="B22" s="58" t="s">
        <v>191</v>
      </c>
      <c r="C22" s="61">
        <v>600</v>
      </c>
      <c r="D22" s="62">
        <v>5</v>
      </c>
    </row>
    <row r="23" spans="2:8" x14ac:dyDescent="0.25">
      <c r="B23" s="58" t="s">
        <v>192</v>
      </c>
      <c r="C23" s="61">
        <v>0</v>
      </c>
      <c r="D23" s="62">
        <v>0</v>
      </c>
    </row>
    <row r="24" spans="2:8" x14ac:dyDescent="0.25">
      <c r="B24" s="58" t="s">
        <v>247</v>
      </c>
      <c r="C24" s="61">
        <f>F*L^3/(3*E*defl)</f>
        <v>220496491.65590778</v>
      </c>
      <c r="D24" s="62"/>
      <c r="H24" s="47">
        <f>C24*(10^-3)^4</f>
        <v>2.2049649165590778E-4</v>
      </c>
    </row>
    <row r="25" spans="2:8" x14ac:dyDescent="0.25">
      <c r="B25" s="58" t="s">
        <v>193</v>
      </c>
      <c r="C25" s="63">
        <f>(Gamma-Tend)/L_2</f>
        <v>0.31708950876285452</v>
      </c>
      <c r="D25" s="64"/>
    </row>
    <row r="26" spans="2:8" x14ac:dyDescent="0.25">
      <c r="B26" s="58" t="s">
        <v>194</v>
      </c>
      <c r="C26" s="65">
        <f>-Tend/(2*m_cantilever^2*Gamma^2)+1/(m_cantilever^2*Gamma)</f>
        <v>4.3402964075697964E-2</v>
      </c>
      <c r="D26" s="64"/>
    </row>
    <row r="27" spans="2:8" x14ac:dyDescent="0.25">
      <c r="B27" s="58" t="s">
        <v>195</v>
      </c>
      <c r="C27" s="66">
        <f>F_cantilever*L_2/(b_cantilever*Gamma^2/6)</f>
        <v>2.3222550005174293E-2</v>
      </c>
      <c r="D27" s="59">
        <v>763</v>
      </c>
    </row>
    <row r="28" spans="2:8" x14ac:dyDescent="0.25">
      <c r="B28" s="58" t="s">
        <v>196</v>
      </c>
      <c r="C28" s="67">
        <f>maxs_cantilever/E_cantilever</f>
        <v>1.7863500003980225E-6</v>
      </c>
      <c r="D28" s="68">
        <f>D27/D18</f>
        <v>3.8149999999999998E-3</v>
      </c>
    </row>
    <row r="29" spans="2:8" x14ac:dyDescent="0.25">
      <c r="B29" s="58" t="s">
        <v>197</v>
      </c>
      <c r="C29" s="67">
        <f>(12*F_cantilever/(b_cantilever*E_cantilever))*(Tend/(2*m_cantilever^2*(Tend+x_cantilever*m_cantilever)^2)-1/(m_cantilever^2*(Tend+x_cantilever*m_cantilever))+cone_c)</f>
        <v>-4.2197244103890316E-5</v>
      </c>
      <c r="D29" s="64"/>
    </row>
    <row r="30" spans="2:8" x14ac:dyDescent="0.25">
      <c r="B30" s="58" t="s">
        <v>198</v>
      </c>
      <c r="C30" s="69">
        <f>(12*F_cantilever)/(b_cantilever*E_cantilever)*( (Tend/(2*m_cantilever^3))*(1/(Tend+L_2*m_cantilever)-1/(Tend+x_cantilever*m_cantilever))-LN((Tend+x_cantilever*m_cantilever)/(Tend+L_2*m_cantilever))/m_cantilever^3+c_1_c*(x_cantilever-L_2)   )</f>
        <v>7.5354417163759155E-3</v>
      </c>
      <c r="D30" s="70">
        <v>0.504</v>
      </c>
    </row>
    <row r="31" spans="2:8" x14ac:dyDescent="0.25">
      <c r="B31" s="58" t="s">
        <v>199</v>
      </c>
      <c r="C31" s="63">
        <f>F_cantilever/defl</f>
        <v>39811.866548983351</v>
      </c>
      <c r="D31" s="70">
        <f>D17/D30</f>
        <v>0.99206349206349209</v>
      </c>
    </row>
    <row r="32" spans="2:8" x14ac:dyDescent="0.25">
      <c r="B32" s="58" t="s">
        <v>200</v>
      </c>
      <c r="C32" s="63">
        <f>F_cantilever*L_2^3/(3*E_cantilever*b_cantilever*Gamma^3/12)</f>
        <v>1.9880205609413815E-3</v>
      </c>
      <c r="D32" s="64"/>
      <c r="E32" s="49"/>
      <c r="F32" s="49"/>
    </row>
    <row r="33" spans="1:13" ht="16.5" thickBot="1" x14ac:dyDescent="0.3">
      <c r="B33" s="71" t="s">
        <v>201</v>
      </c>
      <c r="C33" s="72">
        <f>defl/C32</f>
        <v>3.7904244374654152</v>
      </c>
      <c r="D33" s="64"/>
      <c r="E33" s="49"/>
      <c r="F33" s="49"/>
    </row>
    <row r="34" spans="1:13" ht="16.5" thickTop="1" x14ac:dyDescent="0.25">
      <c r="E34" s="49"/>
      <c r="F34" s="49"/>
    </row>
    <row r="35" spans="1:13" x14ac:dyDescent="0.25">
      <c r="B35" s="73" t="s">
        <v>202</v>
      </c>
      <c r="E35" s="49"/>
      <c r="F35" s="49"/>
    </row>
    <row r="36" spans="1:13" customFormat="1" ht="15" x14ac:dyDescent="0.25">
      <c r="A36" s="74"/>
      <c r="B36" s="123"/>
      <c r="C36" s="124"/>
      <c r="D36" s="125"/>
      <c r="E36" s="74"/>
      <c r="F36" s="74"/>
      <c r="G36" s="75"/>
      <c r="H36" s="75"/>
      <c r="I36" s="75"/>
      <c r="J36" s="75"/>
      <c r="K36" s="75"/>
      <c r="L36" s="75"/>
      <c r="M36" s="75"/>
    </row>
    <row r="37" spans="1:13" customFormat="1" ht="15" x14ac:dyDescent="0.25">
      <c r="A37" s="74"/>
      <c r="B37" s="126"/>
      <c r="C37" s="127"/>
      <c r="D37" s="128"/>
      <c r="E37" s="74"/>
      <c r="F37" s="74"/>
      <c r="G37" s="75"/>
      <c r="H37" s="75"/>
      <c r="I37" s="75"/>
      <c r="J37" s="75"/>
      <c r="K37" s="75"/>
      <c r="L37" s="75"/>
      <c r="M37" s="75"/>
    </row>
    <row r="38" spans="1:13" customFormat="1" ht="15" x14ac:dyDescent="0.25">
      <c r="A38" s="74"/>
      <c r="B38" s="126"/>
      <c r="C38" s="127"/>
      <c r="D38" s="128"/>
      <c r="E38" s="74"/>
      <c r="F38" s="74"/>
      <c r="G38" s="75"/>
      <c r="H38" s="75"/>
      <c r="I38" s="75"/>
      <c r="J38" s="75"/>
      <c r="K38" s="75"/>
      <c r="L38" s="75"/>
      <c r="M38" s="75"/>
    </row>
    <row r="39" spans="1:13" customFormat="1" ht="15" x14ac:dyDescent="0.25">
      <c r="A39" s="74"/>
      <c r="B39" s="126"/>
      <c r="C39" s="127"/>
      <c r="D39" s="128"/>
      <c r="E39" s="74"/>
      <c r="F39" s="74"/>
      <c r="G39" s="75"/>
      <c r="H39" s="75"/>
      <c r="I39" s="75"/>
      <c r="J39" s="75"/>
      <c r="K39" s="75"/>
      <c r="L39" s="75"/>
      <c r="M39" s="75"/>
    </row>
    <row r="40" spans="1:13" customFormat="1" ht="15" x14ac:dyDescent="0.25">
      <c r="A40" s="74"/>
      <c r="B40" s="126"/>
      <c r="C40" s="127"/>
      <c r="D40" s="128"/>
      <c r="E40" s="74"/>
      <c r="F40" s="74"/>
      <c r="G40" s="75"/>
      <c r="H40" s="75"/>
      <c r="I40" s="75"/>
      <c r="J40" s="75"/>
      <c r="K40" s="75"/>
      <c r="L40" s="75"/>
      <c r="M40" s="75"/>
    </row>
    <row r="41" spans="1:13" customFormat="1" ht="15" x14ac:dyDescent="0.25">
      <c r="A41" s="74"/>
      <c r="B41" s="126"/>
      <c r="C41" s="127"/>
      <c r="D41" s="128"/>
      <c r="E41" s="74"/>
      <c r="F41" s="74"/>
      <c r="G41" s="75"/>
      <c r="H41" s="75"/>
      <c r="I41" s="75"/>
      <c r="J41" s="75"/>
      <c r="K41" s="75"/>
      <c r="L41" s="75"/>
      <c r="M41" s="75"/>
    </row>
    <row r="42" spans="1:13" customFormat="1" ht="15" x14ac:dyDescent="0.25">
      <c r="A42" s="74"/>
      <c r="B42" s="126"/>
      <c r="C42" s="127"/>
      <c r="D42" s="128"/>
      <c r="E42" s="74"/>
      <c r="F42" s="74"/>
      <c r="G42" s="75"/>
      <c r="H42" s="75"/>
      <c r="I42" s="75"/>
      <c r="J42" s="75"/>
      <c r="K42" s="75"/>
      <c r="L42" s="75"/>
      <c r="M42" s="75"/>
    </row>
    <row r="43" spans="1:13" x14ac:dyDescent="0.25">
      <c r="B43" s="126"/>
      <c r="C43" s="127"/>
      <c r="D43" s="128"/>
    </row>
    <row r="44" spans="1:13" x14ac:dyDescent="0.25">
      <c r="B44" s="126"/>
      <c r="C44" s="127"/>
      <c r="D44" s="128"/>
    </row>
    <row r="45" spans="1:13" x14ac:dyDescent="0.25">
      <c r="B45" s="126"/>
      <c r="C45" s="127"/>
      <c r="D45" s="128"/>
    </row>
    <row r="46" spans="1:13" x14ac:dyDescent="0.25">
      <c r="B46" s="129"/>
      <c r="C46" s="130"/>
      <c r="D46" s="131"/>
    </row>
  </sheetData>
  <mergeCells count="5">
    <mergeCell ref="B2:D2"/>
    <mergeCell ref="B3:D3"/>
    <mergeCell ref="B4:D4"/>
    <mergeCell ref="B5:D5"/>
    <mergeCell ref="B36:D46"/>
  </mergeCells>
  <pageMargins left="0.7" right="0.7" top="0.75" bottom="0.75" header="0.3" footer="0.3"/>
  <drawing r:id="rId1"/>
  <legacyDrawing r:id="rId2"/>
  <oleObjects>
    <mc:AlternateContent xmlns:mc="http://schemas.openxmlformats.org/markup-compatibility/2006">
      <mc:Choice Requires="x14">
        <oleObject progId="Equation.DSMT4" shapeId="10244" r:id="rId3">
          <objectPr defaultSize="0" autoPict="0" r:id="rId4">
            <anchor moveWithCells="1" sizeWithCells="1">
              <from>
                <xdr:col>1</xdr:col>
                <xdr:colOff>57150</xdr:colOff>
                <xdr:row>35</xdr:row>
                <xdr:rowOff>76200</xdr:rowOff>
              </from>
              <to>
                <xdr:col>4</xdr:col>
                <xdr:colOff>104775</xdr:colOff>
                <xdr:row>43</xdr:row>
                <xdr:rowOff>66675</xdr:rowOff>
              </to>
            </anchor>
          </objectPr>
        </oleObject>
      </mc:Choice>
      <mc:Fallback>
        <oleObject progId="Equation.DSMT4" shapeId="10244" r:id="rId3"/>
      </mc:Fallback>
    </mc:AlternateContent>
    <mc:AlternateContent xmlns:mc="http://schemas.openxmlformats.org/markup-compatibility/2006">
      <mc:Choice Requires="x14">
        <oleObject progId="Equation.DSMT4" shapeId="10245" r:id="rId5">
          <objectPr defaultSize="0" autoPict="0" r:id="rId4">
            <anchor moveWithCells="1" sizeWithCells="1">
              <from>
                <xdr:col>0</xdr:col>
                <xdr:colOff>581025</xdr:colOff>
                <xdr:row>43</xdr:row>
                <xdr:rowOff>19050</xdr:rowOff>
              </from>
              <to>
                <xdr:col>2</xdr:col>
                <xdr:colOff>619125</xdr:colOff>
                <xdr:row>50</xdr:row>
                <xdr:rowOff>0</xdr:rowOff>
              </to>
            </anchor>
          </objectPr>
        </oleObject>
      </mc:Choice>
      <mc:Fallback>
        <oleObject progId="Equation.DSMT4" shapeId="10245" r:id="rId5"/>
      </mc:Fallback>
    </mc:AlternateContent>
    <mc:AlternateContent xmlns:mc="http://schemas.openxmlformats.org/markup-compatibility/2006">
      <mc:Choice Requires="x14">
        <oleObject progId="Visio.Drawing.6" shapeId="10246" r:id="rId6">
          <objectPr defaultSize="0" autoPict="0" r:id="rId7">
            <anchor moveWithCells="1">
              <from>
                <xdr:col>0</xdr:col>
                <xdr:colOff>171450</xdr:colOff>
                <xdr:row>6</xdr:row>
                <xdr:rowOff>0</xdr:rowOff>
              </from>
              <to>
                <xdr:col>5</xdr:col>
                <xdr:colOff>600075</xdr:colOff>
                <xdr:row>13</xdr:row>
                <xdr:rowOff>190500</xdr:rowOff>
              </to>
            </anchor>
          </objectPr>
        </oleObject>
      </mc:Choice>
      <mc:Fallback>
        <oleObject progId="Visio.Drawing.6" shapeId="10246" r:id="rId6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C9" sqref="C9"/>
    </sheetView>
  </sheetViews>
  <sheetFormatPr defaultRowHeight="15" x14ac:dyDescent="0.25"/>
  <cols>
    <col min="1" max="1" width="24.85546875" bestFit="1" customWidth="1"/>
  </cols>
  <sheetData>
    <row r="1" spans="1:4" x14ac:dyDescent="0.25">
      <c r="A1" s="15" t="s">
        <v>143</v>
      </c>
    </row>
    <row r="2" spans="1:4" x14ac:dyDescent="0.25">
      <c r="A2" s="14" t="s">
        <v>137</v>
      </c>
      <c r="B2" t="s">
        <v>90</v>
      </c>
      <c r="C2">
        <f>'Structure Analysis'!C36</f>
        <v>300</v>
      </c>
      <c r="D2" t="s">
        <v>72</v>
      </c>
    </row>
    <row r="3" spans="1:4" x14ac:dyDescent="0.25">
      <c r="A3" s="14" t="s">
        <v>138</v>
      </c>
      <c r="B3" t="s">
        <v>139</v>
      </c>
      <c r="C3">
        <f>'Bearing Length'!C7/1000</f>
        <v>0.21565370525771271</v>
      </c>
      <c r="D3" t="s">
        <v>37</v>
      </c>
    </row>
    <row r="4" spans="1:4" x14ac:dyDescent="0.25">
      <c r="A4" s="14" t="s">
        <v>140</v>
      </c>
      <c r="B4" t="s">
        <v>36</v>
      </c>
      <c r="C4">
        <f>'Structure Analysis'!C3</f>
        <v>0.6</v>
      </c>
      <c r="D4" t="s">
        <v>37</v>
      </c>
    </row>
    <row r="5" spans="1:4" x14ac:dyDescent="0.25">
      <c r="A5" s="14" t="s">
        <v>141</v>
      </c>
      <c r="B5" t="s">
        <v>142</v>
      </c>
      <c r="C5">
        <f>'Error Apportionment'!F26/10^6</f>
        <v>1.1592659616084149E-3</v>
      </c>
      <c r="D5" t="s">
        <v>37</v>
      </c>
    </row>
    <row r="7" spans="1:4" x14ac:dyDescent="0.25">
      <c r="A7" s="16" t="s">
        <v>144</v>
      </c>
    </row>
    <row r="8" spans="1:4" x14ac:dyDescent="0.25">
      <c r="A8" s="18" t="s">
        <v>135</v>
      </c>
      <c r="B8" s="19" t="s">
        <v>136</v>
      </c>
      <c r="C8" s="19">
        <f>2*C2*C4^2/(C3^2*C5)</f>
        <v>4006423.1633186815</v>
      </c>
      <c r="D8" s="19" t="s">
        <v>118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29</vt:i4>
      </vt:variant>
    </vt:vector>
  </HeadingPairs>
  <TitlesOfParts>
    <vt:vector size="37" baseType="lpstr">
      <vt:lpstr>FRDPARRC</vt:lpstr>
      <vt:lpstr>Motor Torque Analysis</vt:lpstr>
      <vt:lpstr>Bearing Length</vt:lpstr>
      <vt:lpstr>Error Apportionment</vt:lpstr>
      <vt:lpstr>Structure Analysis</vt:lpstr>
      <vt:lpstr>Tipping Analysis</vt:lpstr>
      <vt:lpstr>Tapered Cantilever</vt:lpstr>
      <vt:lpstr>Bearing Stiffness</vt:lpstr>
      <vt:lpstr>b</vt:lpstr>
      <vt:lpstr>b_cantilever</vt:lpstr>
      <vt:lpstr>c_1</vt:lpstr>
      <vt:lpstr>c_1_c</vt:lpstr>
      <vt:lpstr>cone</vt:lpstr>
      <vt:lpstr>cone_c</vt:lpstr>
      <vt:lpstr>defl</vt:lpstr>
      <vt:lpstr>dtot</vt:lpstr>
      <vt:lpstr>E</vt:lpstr>
      <vt:lpstr>E_cantilever</vt:lpstr>
      <vt:lpstr>F</vt:lpstr>
      <vt:lpstr>F_cantilever</vt:lpstr>
      <vt:lpstr>fg</vt:lpstr>
      <vt:lpstr>fl</vt:lpstr>
      <vt:lpstr>fp</vt:lpstr>
      <vt:lpstr>ft</vt:lpstr>
      <vt:lpstr>Gamma</vt:lpstr>
      <vt:lpstr>L</vt:lpstr>
      <vt:lpstr>L_2</vt:lpstr>
      <vt:lpstr>m</vt:lpstr>
      <vt:lpstr>m_cantilever</vt:lpstr>
      <vt:lpstr>maxs</vt:lpstr>
      <vt:lpstr>maxs_cantilever</vt:lpstr>
      <vt:lpstr>N</vt:lpstr>
      <vt:lpstr>tb</vt:lpstr>
      <vt:lpstr>te</vt:lpstr>
      <vt:lpstr>Tend</vt:lpstr>
      <vt:lpstr>x</vt:lpstr>
      <vt:lpstr>x_cantilever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2017-03-19T09:07:14Z</dcterms:modified>
</cp:coreProperties>
</file>